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f\Desktop\"/>
    </mc:Choice>
  </mc:AlternateContent>
  <xr:revisionPtr revIDLastSave="0" documentId="8_{9FF05B7B-7C90-4609-9AFD-A8E08F29B1F9}" xr6:coauthVersionLast="47" xr6:coauthVersionMax="47" xr10:uidLastSave="{00000000-0000-0000-0000-000000000000}"/>
  <bookViews>
    <workbookView xWindow="-28920" yWindow="-3885" windowWidth="29040" windowHeight="17640" tabRatio="601" firstSheet="4" activeTab="4" xr2:uid="{00000000-000D-0000-FFFF-FFFF00000000}"/>
  </bookViews>
  <sheets>
    <sheet name="Summary" sheetId="6" r:id="rId1"/>
    <sheet name="Productivity Index" sheetId="9" r:id="rId2"/>
    <sheet name="4yr" sheetId="3" r:id="rId3"/>
    <sheet name="2yr" sheetId="7" r:id="rId4"/>
    <sheet name="Nonformula" sheetId="8" r:id="rId5"/>
  </sheets>
  <definedNames>
    <definedName name="_xlnm.Print_Area" localSheetId="3">'2yr'!$A$1:$S$27</definedName>
    <definedName name="_xlnm.Print_Area" localSheetId="2">'4yr'!$A$1:$S$17</definedName>
    <definedName name="_xlnm.Print_Area" localSheetId="4">Nonformula!$A$1:$I$39</definedName>
    <definedName name="_xlnm.Print_Area" localSheetId="0">Summary!$A$1:$H$18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8" l="1"/>
  <c r="H10" i="8" s="1"/>
  <c r="I10" i="8" s="1"/>
  <c r="E10" i="8"/>
  <c r="E9" i="8" l="1"/>
  <c r="F9" i="8"/>
  <c r="H9" i="8" s="1"/>
  <c r="I9" i="8" s="1"/>
  <c r="F38" i="8" l="1"/>
  <c r="F37" i="8"/>
  <c r="F36" i="8"/>
  <c r="F35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8" i="8"/>
  <c r="F7" i="8"/>
  <c r="F6" i="8"/>
  <c r="F5" i="8"/>
  <c r="G27" i="7"/>
  <c r="E14" i="3" l="1"/>
  <c r="E13" i="3"/>
  <c r="E12" i="3"/>
  <c r="F41" i="9"/>
  <c r="E41" i="9"/>
  <c r="C41" i="9"/>
  <c r="B41" i="9"/>
  <c r="G40" i="9"/>
  <c r="H40" i="9" s="1"/>
  <c r="D40" i="9"/>
  <c r="G39" i="9"/>
  <c r="H39" i="9" s="1"/>
  <c r="D39" i="9"/>
  <c r="G38" i="9"/>
  <c r="H38" i="9" s="1"/>
  <c r="D38" i="9"/>
  <c r="G37" i="9"/>
  <c r="H37" i="9" s="1"/>
  <c r="D37" i="9"/>
  <c r="G36" i="9"/>
  <c r="H36" i="9" s="1"/>
  <c r="D36" i="9"/>
  <c r="G35" i="9"/>
  <c r="H35" i="9" s="1"/>
  <c r="D35" i="9"/>
  <c r="G34" i="9"/>
  <c r="H34" i="9" s="1"/>
  <c r="D34" i="9"/>
  <c r="G33" i="9"/>
  <c r="H33" i="9" s="1"/>
  <c r="D33" i="9"/>
  <c r="G32" i="9"/>
  <c r="H32" i="9" s="1"/>
  <c r="D32" i="9"/>
  <c r="G31" i="9"/>
  <c r="H31" i="9" s="1"/>
  <c r="D31" i="9"/>
  <c r="G30" i="9"/>
  <c r="H30" i="9" s="1"/>
  <c r="D30" i="9"/>
  <c r="G29" i="9"/>
  <c r="H29" i="9" s="1"/>
  <c r="D29" i="9"/>
  <c r="G28" i="9"/>
  <c r="H28" i="9" s="1"/>
  <c r="D28" i="9"/>
  <c r="G27" i="9"/>
  <c r="H27" i="9" s="1"/>
  <c r="D27" i="9"/>
  <c r="G26" i="9"/>
  <c r="H26" i="9" s="1"/>
  <c r="D26" i="9"/>
  <c r="G25" i="9"/>
  <c r="H25" i="9" s="1"/>
  <c r="D25" i="9"/>
  <c r="G24" i="9"/>
  <c r="H24" i="9" s="1"/>
  <c r="D24" i="9"/>
  <c r="G23" i="9"/>
  <c r="H23" i="9" s="1"/>
  <c r="D23" i="9"/>
  <c r="G22" i="9"/>
  <c r="H22" i="9" s="1"/>
  <c r="D22" i="9"/>
  <c r="G21" i="9"/>
  <c r="D21" i="9"/>
  <c r="G20" i="9"/>
  <c r="H20" i="9" s="1"/>
  <c r="D20" i="9"/>
  <c r="G19" i="9"/>
  <c r="H19" i="9" s="1"/>
  <c r="D19" i="9"/>
  <c r="F18" i="9"/>
  <c r="E18" i="9"/>
  <c r="C18" i="9"/>
  <c r="C42" i="9" s="1"/>
  <c r="B18" i="9"/>
  <c r="G17" i="9"/>
  <c r="H17" i="9" s="1"/>
  <c r="D17" i="9"/>
  <c r="G16" i="9"/>
  <c r="H16" i="9" s="1"/>
  <c r="D16" i="9"/>
  <c r="G15" i="9"/>
  <c r="H15" i="9" s="1"/>
  <c r="D15" i="9"/>
  <c r="G14" i="9"/>
  <c r="H14" i="9" s="1"/>
  <c r="D14" i="9"/>
  <c r="G13" i="9"/>
  <c r="H13" i="9" s="1"/>
  <c r="D13" i="9"/>
  <c r="G12" i="9"/>
  <c r="H12" i="9" s="1"/>
  <c r="D12" i="9"/>
  <c r="G11" i="9"/>
  <c r="H11" i="9" s="1"/>
  <c r="D11" i="9"/>
  <c r="G10" i="9"/>
  <c r="H10" i="9" s="1"/>
  <c r="D10" i="9"/>
  <c r="G9" i="9"/>
  <c r="H9" i="9" s="1"/>
  <c r="D9" i="9"/>
  <c r="G8" i="9"/>
  <c r="D8" i="9"/>
  <c r="G41" i="9" l="1"/>
  <c r="H41" i="9" s="1"/>
  <c r="E42" i="9"/>
  <c r="B42" i="9"/>
  <c r="D41" i="9"/>
  <c r="F42" i="9"/>
  <c r="D18" i="9"/>
  <c r="G18" i="9"/>
  <c r="H18" i="9" s="1"/>
  <c r="H21" i="9"/>
  <c r="H8" i="9"/>
  <c r="G42" i="9" l="1"/>
  <c r="H42" i="9" s="1"/>
  <c r="C2" i="9" s="1"/>
  <c r="D42" i="9"/>
  <c r="C4" i="9" s="1"/>
  <c r="C5" i="9" l="1"/>
  <c r="E4" i="9"/>
  <c r="D4" i="9"/>
  <c r="E5" i="9" l="1"/>
  <c r="D5" i="9"/>
  <c r="H12" i="8"/>
  <c r="D12" i="8"/>
  <c r="H5" i="8"/>
  <c r="E25" i="7"/>
  <c r="E24" i="7"/>
  <c r="E23" i="7"/>
  <c r="E22" i="7"/>
  <c r="E21" i="7"/>
  <c r="L21" i="7" s="1"/>
  <c r="E20" i="7"/>
  <c r="E19" i="7"/>
  <c r="E18" i="7"/>
  <c r="E17" i="7"/>
  <c r="E16" i="7"/>
  <c r="E15" i="7"/>
  <c r="E14" i="7"/>
  <c r="L14" i="7" s="1"/>
  <c r="E13" i="7"/>
  <c r="E12" i="7"/>
  <c r="E11" i="7"/>
  <c r="E10" i="7"/>
  <c r="L10" i="7" s="1"/>
  <c r="E9" i="7"/>
  <c r="E8" i="7"/>
  <c r="E7" i="7"/>
  <c r="H26" i="7"/>
  <c r="H25" i="7"/>
  <c r="H24" i="7"/>
  <c r="H23" i="7"/>
  <c r="H22" i="7"/>
  <c r="L22" i="7" s="1"/>
  <c r="H21" i="7"/>
  <c r="H20" i="7"/>
  <c r="L20" i="7" s="1"/>
  <c r="H19" i="7"/>
  <c r="H18" i="7"/>
  <c r="L18" i="7" s="1"/>
  <c r="H17" i="7"/>
  <c r="H16" i="7"/>
  <c r="H15" i="7"/>
  <c r="H14" i="7"/>
  <c r="H13" i="7"/>
  <c r="L13" i="7" s="1"/>
  <c r="H12" i="7"/>
  <c r="H11" i="7"/>
  <c r="H10" i="7"/>
  <c r="H9" i="7"/>
  <c r="L9" i="7" s="1"/>
  <c r="H8" i="7"/>
  <c r="L8" i="7" s="1"/>
  <c r="H7" i="7"/>
  <c r="H6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H5" i="7"/>
  <c r="L5" i="7" s="1"/>
  <c r="G5" i="7"/>
  <c r="E27" i="7"/>
  <c r="E26" i="7"/>
  <c r="E6" i="7"/>
  <c r="L6" i="7" s="1"/>
  <c r="E5" i="7"/>
  <c r="D14" i="3"/>
  <c r="F14" i="3"/>
  <c r="H14" i="3"/>
  <c r="H5" i="3"/>
  <c r="L5" i="3" s="1"/>
  <c r="H6" i="3"/>
  <c r="H7" i="3"/>
  <c r="H8" i="3"/>
  <c r="H9" i="3"/>
  <c r="H10" i="3"/>
  <c r="H11" i="3"/>
  <c r="L11" i="3" s="1"/>
  <c r="H12" i="3"/>
  <c r="H13" i="3"/>
  <c r="G5" i="3"/>
  <c r="D5" i="3"/>
  <c r="E5" i="3"/>
  <c r="F5" i="3" s="1"/>
  <c r="G10" i="3"/>
  <c r="D10" i="3"/>
  <c r="E10" i="3"/>
  <c r="G11" i="3"/>
  <c r="D11" i="3"/>
  <c r="E11" i="3"/>
  <c r="G12" i="3"/>
  <c r="D12" i="3"/>
  <c r="F12" i="3" s="1"/>
  <c r="D13" i="3"/>
  <c r="F13" i="3" s="1"/>
  <c r="D9" i="3"/>
  <c r="E9" i="3"/>
  <c r="F9" i="3" s="1"/>
  <c r="D8" i="3"/>
  <c r="E8" i="3"/>
  <c r="D7" i="3"/>
  <c r="E7" i="3"/>
  <c r="F7" i="3" s="1"/>
  <c r="D6" i="3"/>
  <c r="F6" i="3" s="1"/>
  <c r="E6" i="3"/>
  <c r="G15" i="3"/>
  <c r="G14" i="3"/>
  <c r="G13" i="3"/>
  <c r="G9" i="3"/>
  <c r="G8" i="3"/>
  <c r="G7" i="3"/>
  <c r="G6" i="3"/>
  <c r="E15" i="3"/>
  <c r="H37" i="8"/>
  <c r="H36" i="8"/>
  <c r="H35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1" i="8"/>
  <c r="H8" i="8"/>
  <c r="H7" i="8"/>
  <c r="H6" i="8"/>
  <c r="B15" i="3"/>
  <c r="B7" i="6" s="1"/>
  <c r="B27" i="7"/>
  <c r="B8" i="6" s="1"/>
  <c r="B39" i="8"/>
  <c r="B17" i="6" s="1"/>
  <c r="E38" i="8"/>
  <c r="E37" i="8"/>
  <c r="E36" i="8"/>
  <c r="E35" i="8"/>
  <c r="E5" i="8"/>
  <c r="E6" i="8"/>
  <c r="E7" i="8"/>
  <c r="E8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D36" i="8"/>
  <c r="D37" i="8"/>
  <c r="D38" i="8"/>
  <c r="D35" i="8"/>
  <c r="D5" i="8"/>
  <c r="D20" i="7"/>
  <c r="F20" i="7" s="1"/>
  <c r="D12" i="7"/>
  <c r="D27" i="7"/>
  <c r="D8" i="6" s="1"/>
  <c r="D26" i="7"/>
  <c r="D25" i="7"/>
  <c r="D24" i="7"/>
  <c r="D23" i="7"/>
  <c r="D22" i="7"/>
  <c r="D21" i="7"/>
  <c r="F21" i="7" s="1"/>
  <c r="D19" i="7"/>
  <c r="D18" i="7"/>
  <c r="F18" i="7" s="1"/>
  <c r="D17" i="7"/>
  <c r="D16" i="7"/>
  <c r="D15" i="7"/>
  <c r="D14" i="7"/>
  <c r="D13" i="7"/>
  <c r="F13" i="7" s="1"/>
  <c r="D11" i="7"/>
  <c r="D10" i="7"/>
  <c r="F10" i="7" s="1"/>
  <c r="D9" i="7"/>
  <c r="D8" i="7"/>
  <c r="D7" i="7"/>
  <c r="D6" i="7"/>
  <c r="D5" i="7"/>
  <c r="C27" i="7"/>
  <c r="C8" i="6" s="1"/>
  <c r="C15" i="3"/>
  <c r="C7" i="6" s="1"/>
  <c r="D15" i="3"/>
  <c r="D7" i="6" s="1"/>
  <c r="G39" i="8"/>
  <c r="H38" i="8"/>
  <c r="G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1" i="8"/>
  <c r="D8" i="8"/>
  <c r="D7" i="8"/>
  <c r="D6" i="8"/>
  <c r="C29" i="8"/>
  <c r="C16" i="6" s="1"/>
  <c r="B29" i="8"/>
  <c r="B16" i="6" s="1"/>
  <c r="C39" i="8"/>
  <c r="C17" i="6" s="1"/>
  <c r="I8" i="8" l="1"/>
  <c r="E39" i="8"/>
  <c r="F12" i="7"/>
  <c r="L8" i="3"/>
  <c r="I7" i="8"/>
  <c r="L12" i="3"/>
  <c r="L19" i="7"/>
  <c r="L12" i="7"/>
  <c r="L15" i="7"/>
  <c r="L23" i="7"/>
  <c r="L16" i="7"/>
  <c r="L24" i="7"/>
  <c r="L17" i="7"/>
  <c r="L25" i="7"/>
  <c r="L7" i="3"/>
  <c r="L13" i="3"/>
  <c r="L14" i="3"/>
  <c r="L10" i="3"/>
  <c r="L9" i="3"/>
  <c r="F22" i="7"/>
  <c r="F5" i="7"/>
  <c r="F14" i="7"/>
  <c r="F25" i="7"/>
  <c r="L7" i="7"/>
  <c r="F19" i="7"/>
  <c r="F8" i="3"/>
  <c r="F11" i="3"/>
  <c r="I38" i="8"/>
  <c r="E29" i="8"/>
  <c r="F6" i="7"/>
  <c r="L26" i="7"/>
  <c r="I36" i="8"/>
  <c r="F26" i="7"/>
  <c r="L11" i="7"/>
  <c r="F7" i="7"/>
  <c r="F15" i="7"/>
  <c r="F23" i="7"/>
  <c r="H27" i="7"/>
  <c r="I11" i="7" s="1"/>
  <c r="J11" i="7" s="1"/>
  <c r="F11" i="7"/>
  <c r="H15" i="3"/>
  <c r="I6" i="3" s="1"/>
  <c r="J6" i="3" s="1"/>
  <c r="L6" i="3"/>
  <c r="F8" i="7"/>
  <c r="F16" i="7"/>
  <c r="F24" i="7"/>
  <c r="I28" i="8"/>
  <c r="M21" i="7"/>
  <c r="F9" i="7"/>
  <c r="F17" i="7"/>
  <c r="F10" i="3"/>
  <c r="H39" i="8"/>
  <c r="C18" i="6"/>
  <c r="F39" i="8"/>
  <c r="I37" i="8"/>
  <c r="I35" i="8"/>
  <c r="B18" i="6"/>
  <c r="D39" i="8"/>
  <c r="D17" i="6" s="1"/>
  <c r="F29" i="8"/>
  <c r="H29" i="8"/>
  <c r="I16" i="8"/>
  <c r="I24" i="8"/>
  <c r="I6" i="8"/>
  <c r="I17" i="8"/>
  <c r="I25" i="8"/>
  <c r="I14" i="8"/>
  <c r="I15" i="8"/>
  <c r="I18" i="8"/>
  <c r="I26" i="8"/>
  <c r="I5" i="8"/>
  <c r="I19" i="8"/>
  <c r="I27" i="8"/>
  <c r="I12" i="8"/>
  <c r="I22" i="8"/>
  <c r="I23" i="8"/>
  <c r="I11" i="8"/>
  <c r="I20" i="8"/>
  <c r="I13" i="8"/>
  <c r="I21" i="8"/>
  <c r="D29" i="8"/>
  <c r="D16" i="6" s="1"/>
  <c r="D9" i="6"/>
  <c r="B9" i="6"/>
  <c r="C9" i="6"/>
  <c r="I11" i="3"/>
  <c r="J11" i="3" s="1"/>
  <c r="I8" i="3"/>
  <c r="J8" i="3" s="1"/>
  <c r="I10" i="3"/>
  <c r="J10" i="3" s="1"/>
  <c r="I15" i="3"/>
  <c r="M6" i="7"/>
  <c r="I14" i="3"/>
  <c r="J14" i="3" s="1"/>
  <c r="I25" i="7"/>
  <c r="J25" i="7" s="1"/>
  <c r="I5" i="3"/>
  <c r="J5" i="3" s="1"/>
  <c r="I39" i="8" l="1"/>
  <c r="E17" i="6" s="1"/>
  <c r="F17" i="6" s="1"/>
  <c r="G17" i="6" s="1"/>
  <c r="F15" i="3"/>
  <c r="E7" i="6" s="1"/>
  <c r="I24" i="7"/>
  <c r="J24" i="7" s="1"/>
  <c r="I19" i="7"/>
  <c r="J19" i="7" s="1"/>
  <c r="I14" i="7"/>
  <c r="J14" i="7" s="1"/>
  <c r="I9" i="3"/>
  <c r="J9" i="3" s="1"/>
  <c r="K9" i="3" s="1"/>
  <c r="I12" i="3"/>
  <c r="J12" i="3" s="1"/>
  <c r="K12" i="3" s="1"/>
  <c r="I13" i="3"/>
  <c r="J13" i="3" s="1"/>
  <c r="K13" i="3" s="1"/>
  <c r="I23" i="7"/>
  <c r="J23" i="7" s="1"/>
  <c r="I7" i="7"/>
  <c r="J7" i="7" s="1"/>
  <c r="K7" i="7" s="1"/>
  <c r="I7" i="3"/>
  <c r="J7" i="3" s="1"/>
  <c r="K7" i="3" s="1"/>
  <c r="F27" i="7"/>
  <c r="E8" i="6" s="1"/>
  <c r="I17" i="7"/>
  <c r="J17" i="7" s="1"/>
  <c r="K17" i="7" s="1"/>
  <c r="I8" i="7"/>
  <c r="J8" i="7" s="1"/>
  <c r="I6" i="7"/>
  <c r="J6" i="7" s="1"/>
  <c r="N6" i="7" s="1"/>
  <c r="I26" i="7"/>
  <c r="J26" i="7" s="1"/>
  <c r="I10" i="7"/>
  <c r="J10" i="7" s="1"/>
  <c r="I18" i="7"/>
  <c r="J18" i="7" s="1"/>
  <c r="K18" i="7" s="1"/>
  <c r="I9" i="7"/>
  <c r="J9" i="7" s="1"/>
  <c r="K9" i="7" s="1"/>
  <c r="I5" i="7"/>
  <c r="J5" i="7" s="1"/>
  <c r="K5" i="7" s="1"/>
  <c r="I22" i="7"/>
  <c r="J22" i="7" s="1"/>
  <c r="K22" i="7" s="1"/>
  <c r="I20" i="7"/>
  <c r="J20" i="7" s="1"/>
  <c r="I16" i="7"/>
  <c r="J16" i="7" s="1"/>
  <c r="K16" i="7" s="1"/>
  <c r="I21" i="7"/>
  <c r="J21" i="7" s="1"/>
  <c r="N21" i="7" s="1"/>
  <c r="I27" i="7"/>
  <c r="I15" i="7"/>
  <c r="J15" i="7" s="1"/>
  <c r="K11" i="7"/>
  <c r="I29" i="8"/>
  <c r="E16" i="6" s="1"/>
  <c r="F16" i="6" s="1"/>
  <c r="I12" i="7"/>
  <c r="J12" i="7" s="1"/>
  <c r="I13" i="7"/>
  <c r="J13" i="7" s="1"/>
  <c r="K13" i="7" s="1"/>
  <c r="K6" i="3"/>
  <c r="D18" i="6"/>
  <c r="L15" i="3"/>
  <c r="K14" i="3"/>
  <c r="K8" i="3"/>
  <c r="K12" i="7"/>
  <c r="K11" i="3"/>
  <c r="K5" i="3"/>
  <c r="K14" i="7"/>
  <c r="K25" i="7"/>
  <c r="L27" i="7"/>
  <c r="M14" i="7" s="1"/>
  <c r="K24" i="7"/>
  <c r="K10" i="3"/>
  <c r="K19" i="7"/>
  <c r="K23" i="7"/>
  <c r="J15" i="3" l="1"/>
  <c r="K15" i="3" s="1"/>
  <c r="E18" i="6"/>
  <c r="M10" i="7"/>
  <c r="N10" i="7" s="1"/>
  <c r="O10" i="7" s="1"/>
  <c r="P14" i="7"/>
  <c r="Q14" i="7" s="1"/>
  <c r="E9" i="6"/>
  <c r="M25" i="7"/>
  <c r="N25" i="7" s="1"/>
  <c r="O25" i="7" s="1"/>
  <c r="M7" i="7"/>
  <c r="M26" i="7"/>
  <c r="P26" i="7" s="1"/>
  <c r="M11" i="7"/>
  <c r="K10" i="7"/>
  <c r="P10" i="7"/>
  <c r="R10" i="7" s="1"/>
  <c r="S10" i="7" s="1"/>
  <c r="O6" i="7"/>
  <c r="K6" i="7"/>
  <c r="O21" i="7"/>
  <c r="K21" i="7"/>
  <c r="K26" i="7"/>
  <c r="K20" i="7"/>
  <c r="P21" i="7"/>
  <c r="K15" i="7"/>
  <c r="J27" i="7"/>
  <c r="K27" i="7" s="1"/>
  <c r="K8" i="7"/>
  <c r="P6" i="7"/>
  <c r="R6" i="7" s="1"/>
  <c r="S6" i="7" s="1"/>
  <c r="F18" i="6"/>
  <c r="G18" i="6" s="1"/>
  <c r="G16" i="6"/>
  <c r="M11" i="3"/>
  <c r="N11" i="3" s="1"/>
  <c r="M7" i="3"/>
  <c r="N7" i="3" s="1"/>
  <c r="M8" i="3"/>
  <c r="N8" i="3" s="1"/>
  <c r="M9" i="3"/>
  <c r="N9" i="3" s="1"/>
  <c r="M5" i="3"/>
  <c r="N5" i="3" s="1"/>
  <c r="M12" i="3"/>
  <c r="N12" i="3" s="1"/>
  <c r="M13" i="3"/>
  <c r="N13" i="3" s="1"/>
  <c r="M10" i="3"/>
  <c r="N10" i="3" s="1"/>
  <c r="M6" i="3"/>
  <c r="N6" i="3" s="1"/>
  <c r="M8" i="7"/>
  <c r="N8" i="7" s="1"/>
  <c r="M23" i="7"/>
  <c r="N23" i="7" s="1"/>
  <c r="M15" i="7"/>
  <c r="N15" i="7" s="1"/>
  <c r="M13" i="7"/>
  <c r="N13" i="7" s="1"/>
  <c r="M17" i="7"/>
  <c r="N17" i="7" s="1"/>
  <c r="M12" i="7"/>
  <c r="N12" i="7" s="1"/>
  <c r="M20" i="7"/>
  <c r="N20" i="7" s="1"/>
  <c r="M18" i="7"/>
  <c r="N18" i="7" s="1"/>
  <c r="M19" i="7"/>
  <c r="N19" i="7" s="1"/>
  <c r="M5" i="7"/>
  <c r="N5" i="7" s="1"/>
  <c r="M22" i="7"/>
  <c r="N22" i="7" s="1"/>
  <c r="M16" i="7"/>
  <c r="N16" i="7" s="1"/>
  <c r="M24" i="7"/>
  <c r="N24" i="7" s="1"/>
  <c r="M9" i="7"/>
  <c r="N9" i="7" s="1"/>
  <c r="M14" i="3"/>
  <c r="N14" i="3" s="1"/>
  <c r="R14" i="7" l="1"/>
  <c r="S14" i="7" s="1"/>
  <c r="P25" i="7"/>
  <c r="R25" i="7" s="1"/>
  <c r="S25" i="7" s="1"/>
  <c r="N14" i="7"/>
  <c r="O14" i="7" s="1"/>
  <c r="N26" i="7"/>
  <c r="O26" i="7" s="1"/>
  <c r="R26" i="7"/>
  <c r="S26" i="7" s="1"/>
  <c r="Q26" i="7"/>
  <c r="Q10" i="7"/>
  <c r="N11" i="7"/>
  <c r="O11" i="7" s="1"/>
  <c r="P11" i="7"/>
  <c r="N7" i="7"/>
  <c r="O7" i="7" s="1"/>
  <c r="P7" i="7"/>
  <c r="Q6" i="7"/>
  <c r="Q21" i="7"/>
  <c r="R21" i="7"/>
  <c r="S21" i="7" s="1"/>
  <c r="P10" i="3"/>
  <c r="O10" i="3"/>
  <c r="P23" i="7"/>
  <c r="O23" i="7"/>
  <c r="P8" i="7"/>
  <c r="O8" i="7"/>
  <c r="O14" i="3"/>
  <c r="P14" i="3"/>
  <c r="M27" i="7"/>
  <c r="O5" i="7"/>
  <c r="P5" i="7"/>
  <c r="O7" i="3"/>
  <c r="P7" i="3"/>
  <c r="P18" i="7"/>
  <c r="O18" i="7"/>
  <c r="P17" i="7"/>
  <c r="O17" i="7"/>
  <c r="O6" i="3"/>
  <c r="P6" i="3"/>
  <c r="P8" i="3"/>
  <c r="O8" i="3"/>
  <c r="P9" i="7"/>
  <c r="O9" i="7"/>
  <c r="P19" i="7"/>
  <c r="O19" i="7"/>
  <c r="P11" i="3"/>
  <c r="O11" i="3"/>
  <c r="O20" i="7"/>
  <c r="P20" i="7"/>
  <c r="P12" i="7"/>
  <c r="O12" i="7"/>
  <c r="O13" i="3"/>
  <c r="P13" i="3"/>
  <c r="P24" i="7"/>
  <c r="O24" i="7"/>
  <c r="P12" i="3"/>
  <c r="O12" i="3"/>
  <c r="O16" i="7"/>
  <c r="P16" i="7"/>
  <c r="P13" i="7"/>
  <c r="O13" i="7"/>
  <c r="M15" i="3"/>
  <c r="P5" i="3"/>
  <c r="O5" i="3"/>
  <c r="P22" i="7"/>
  <c r="O22" i="7"/>
  <c r="P15" i="7"/>
  <c r="O15" i="7"/>
  <c r="O9" i="3"/>
  <c r="P9" i="3"/>
  <c r="Q25" i="7"/>
  <c r="R7" i="7" l="1"/>
  <c r="S7" i="7" s="1"/>
  <c r="Q7" i="7"/>
  <c r="R11" i="7"/>
  <c r="S11" i="7" s="1"/>
  <c r="Q11" i="7"/>
  <c r="O27" i="7"/>
  <c r="R9" i="7"/>
  <c r="S9" i="7" s="1"/>
  <c r="Q9" i="7"/>
  <c r="R5" i="3"/>
  <c r="S5" i="3" s="1"/>
  <c r="P15" i="3"/>
  <c r="F7" i="6" s="1"/>
  <c r="Q5" i="3"/>
  <c r="R17" i="7"/>
  <c r="S17" i="7" s="1"/>
  <c r="Q17" i="7"/>
  <c r="P27" i="7"/>
  <c r="F8" i="6" s="1"/>
  <c r="R5" i="7"/>
  <c r="S5" i="7" s="1"/>
  <c r="Q5" i="7"/>
  <c r="R8" i="7"/>
  <c r="S8" i="7" s="1"/>
  <c r="Q8" i="7"/>
  <c r="R11" i="3"/>
  <c r="S11" i="3" s="1"/>
  <c r="Q11" i="3"/>
  <c r="R13" i="7"/>
  <c r="S13" i="7" s="1"/>
  <c r="Q13" i="7"/>
  <c r="R12" i="7"/>
  <c r="S12" i="7" s="1"/>
  <c r="Q12" i="7"/>
  <c r="Q19" i="7"/>
  <c r="R19" i="7"/>
  <c r="S19" i="7" s="1"/>
  <c r="Q18" i="7"/>
  <c r="R18" i="7"/>
  <c r="S18" i="7" s="1"/>
  <c r="R23" i="7"/>
  <c r="S23" i="7" s="1"/>
  <c r="Q23" i="7"/>
  <c r="R6" i="3"/>
  <c r="S6" i="3" s="1"/>
  <c r="Q6" i="3"/>
  <c r="R14" i="3"/>
  <c r="S14" i="3" s="1"/>
  <c r="Q14" i="3"/>
  <c r="N27" i="7"/>
  <c r="Q15" i="7"/>
  <c r="R15" i="7"/>
  <c r="S15" i="7" s="1"/>
  <c r="Q12" i="3"/>
  <c r="R12" i="3"/>
  <c r="S12" i="3" s="1"/>
  <c r="Q8" i="3"/>
  <c r="R8" i="3"/>
  <c r="S8" i="3" s="1"/>
  <c r="R22" i="7"/>
  <c r="S22" i="7" s="1"/>
  <c r="Q22" i="7"/>
  <c r="R24" i="7"/>
  <c r="S24" i="7" s="1"/>
  <c r="Q24" i="7"/>
  <c r="R20" i="7"/>
  <c r="S20" i="7" s="1"/>
  <c r="Q20" i="7"/>
  <c r="R7" i="3"/>
  <c r="S7" i="3" s="1"/>
  <c r="Q7" i="3"/>
  <c r="O15" i="3"/>
  <c r="R9" i="3"/>
  <c r="S9" i="3" s="1"/>
  <c r="Q9" i="3"/>
  <c r="N15" i="3"/>
  <c r="R16" i="7"/>
  <c r="S16" i="7" s="1"/>
  <c r="Q16" i="7"/>
  <c r="Q13" i="3"/>
  <c r="R13" i="3"/>
  <c r="S13" i="3" s="1"/>
  <c r="Q10" i="3"/>
  <c r="R10" i="3"/>
  <c r="S10" i="3" s="1"/>
  <c r="R27" i="7" l="1"/>
  <c r="F9" i="6"/>
  <c r="Q15" i="3"/>
  <c r="G7" i="6" s="1"/>
  <c r="Q27" i="7"/>
  <c r="G8" i="6" s="1"/>
  <c r="H8" i="6" s="1"/>
  <c r="S27" i="7"/>
  <c r="S15" i="3"/>
  <c r="R15" i="3"/>
  <c r="H7" i="6" l="1"/>
  <c r="G9" i="6"/>
  <c r="H9" i="6" s="1"/>
</calcChain>
</file>

<file path=xl/sharedStrings.xml><?xml version="1.0" encoding="utf-8"?>
<sst xmlns="http://schemas.openxmlformats.org/spreadsheetml/2006/main" count="213" uniqueCount="131">
  <si>
    <t>Table A.  Summary of Operating Recommendations for the 2023-24 Fiscal Year</t>
  </si>
  <si>
    <t>Institution Type</t>
  </si>
  <si>
    <t>Fiscal Year 2022-23 Base</t>
  </si>
  <si>
    <t>FY2023-24 AHECB Recommendations</t>
  </si>
  <si>
    <t xml:space="preserve">Total Recommendation </t>
  </si>
  <si>
    <t>New Funds</t>
  </si>
  <si>
    <t>EETF Forecast</t>
  </si>
  <si>
    <t xml:space="preserve"> WF2000</t>
  </si>
  <si>
    <t>RSA Forecast</t>
  </si>
  <si>
    <t>Total Base
(RSA, EETF &amp; WF2000)</t>
  </si>
  <si>
    <t>% Inc</t>
  </si>
  <si>
    <t>Universities</t>
  </si>
  <si>
    <t>Colleges</t>
  </si>
  <si>
    <t xml:space="preserve">     Total</t>
  </si>
  <si>
    <t>Non-Formula Entity Type</t>
  </si>
  <si>
    <t>FY2023-24</t>
  </si>
  <si>
    <t>AHECB Recommendation</t>
  </si>
  <si>
    <t>Total Recommendation</t>
  </si>
  <si>
    <t>Total Base
(RSA &amp; EETF)</t>
  </si>
  <si>
    <t>Non-Formula Entities</t>
  </si>
  <si>
    <t>Health Care-Related UAMS</t>
  </si>
  <si>
    <t xml:space="preserve">Year 6 - Productivity Index </t>
  </si>
  <si>
    <t>Productivity Index for FY2024 Recommendations</t>
  </si>
  <si>
    <t>FY2024 Base RSA Forecast</t>
  </si>
  <si>
    <t>Productivity Recommendation</t>
  </si>
  <si>
    <t>Institution</t>
  </si>
  <si>
    <t>FY2023 RSA
Forecast</t>
  </si>
  <si>
    <t>FY2023 Incentive Funding</t>
  </si>
  <si>
    <t>FY2024 Base RSA</t>
  </si>
  <si>
    <t>2018-20 Productivity Index</t>
  </si>
  <si>
    <t>2019-21 Productivity Index</t>
  </si>
  <si>
    <t>Change in Productivity Index</t>
  </si>
  <si>
    <t>% Change in Productivity Index</t>
  </si>
  <si>
    <t>ASUJ</t>
  </si>
  <si>
    <t>ATU</t>
  </si>
  <si>
    <t>HSU</t>
  </si>
  <si>
    <t>SAUM</t>
  </si>
  <si>
    <t>UAF</t>
  </si>
  <si>
    <t>UAFS</t>
  </si>
  <si>
    <t>UALR</t>
  </si>
  <si>
    <t>UAM</t>
  </si>
  <si>
    <t>UAPB</t>
  </si>
  <si>
    <t>UCA</t>
  </si>
  <si>
    <t>4YR SUB</t>
  </si>
  <si>
    <t>ANC</t>
  </si>
  <si>
    <t>ASUB</t>
  </si>
  <si>
    <t>ASUMH</t>
  </si>
  <si>
    <t>ASUMS</t>
  </si>
  <si>
    <t>ASUN</t>
  </si>
  <si>
    <t>ASUTR</t>
  </si>
  <si>
    <t>BRTC</t>
  </si>
  <si>
    <t>CCCUA</t>
  </si>
  <si>
    <t>EACC</t>
  </si>
  <si>
    <t>NAC</t>
  </si>
  <si>
    <t>NPC</t>
  </si>
  <si>
    <t>NWACC</t>
  </si>
  <si>
    <t>OZC</t>
  </si>
  <si>
    <t>PCCUA</t>
  </si>
  <si>
    <t>SACC</t>
  </si>
  <si>
    <t>SAUT</t>
  </si>
  <si>
    <t>SEAC</t>
  </si>
  <si>
    <t>UACCB</t>
  </si>
  <si>
    <t>UACCHT</t>
  </si>
  <si>
    <t>UACCM</t>
  </si>
  <si>
    <t>UA-RM</t>
  </si>
  <si>
    <t>UA-PT</t>
  </si>
  <si>
    <t>2 YR SUB</t>
  </si>
  <si>
    <t>TOTAL</t>
  </si>
  <si>
    <t>Table C.  2023-24 Four-Year Universities Recommendations</t>
  </si>
  <si>
    <t xml:space="preserve"> </t>
  </si>
  <si>
    <t>Inst</t>
  </si>
  <si>
    <t>FY2022-23</t>
  </si>
  <si>
    <t>PRODUCTIVITY DISTRIBUTIONS</t>
  </si>
  <si>
    <t>FY2023-24 Recommendations</t>
  </si>
  <si>
    <t>WF2000 Forecast</t>
  </si>
  <si>
    <t>One-Time Incentive Funding in RSA</t>
  </si>
  <si>
    <t>Total Base
(RSA + EETF + WF2000 - Incentive Funding)</t>
  </si>
  <si>
    <t>Productivity Index Increases</t>
  </si>
  <si>
    <t xml:space="preserve">Contribution to Increase 
</t>
  </si>
  <si>
    <t>Distribution of Productivity Funding
(New Funds)</t>
  </si>
  <si>
    <t>% Increase over RSA</t>
  </si>
  <si>
    <t>Reallocation Losses (2%)</t>
  </si>
  <si>
    <t>Reallocation of Productivity Losses</t>
  </si>
  <si>
    <t>RSA Increase (Capped at 2%)</t>
  </si>
  <si>
    <t>Incentive Funding</t>
  </si>
  <si>
    <t>Total Funding Recommendation</t>
  </si>
  <si>
    <t xml:space="preserve">2% Appropriation Adjustment </t>
  </si>
  <si>
    <t>ATU*</t>
  </si>
  <si>
    <t>UAM*</t>
  </si>
  <si>
    <t>Total</t>
  </si>
  <si>
    <t>*Includes ATU-Ozark</t>
  </si>
  <si>
    <t>**Includes UAM-Crossett and UAM-McGehee</t>
  </si>
  <si>
    <t>Table D.  2023-24 Two Year Colleges Recommendations</t>
  </si>
  <si>
    <t>UACCH</t>
  </si>
  <si>
    <t>Table E. 2023-24 Non-Formula Entities Recommendations</t>
  </si>
  <si>
    <t>Institution/Entity</t>
  </si>
  <si>
    <t>FY 2023-24 Recommendations</t>
  </si>
  <si>
    <t>2.1% Increase on RSA for 2017-18</t>
  </si>
  <si>
    <t>7.0% Continuing Level of RSA</t>
  </si>
  <si>
    <t>Base Operations &amp; Program Enhancements</t>
  </si>
  <si>
    <t>Total New Funds over 2022-23 Rec.</t>
  </si>
  <si>
    <t>ADTEC/ADWIRED</t>
  </si>
  <si>
    <t>AREON</t>
  </si>
  <si>
    <t>ASU-System Office</t>
  </si>
  <si>
    <t>ASU-Heritage</t>
  </si>
  <si>
    <t>ASU-Delta Center for Economic Development</t>
  </si>
  <si>
    <t>ATU-AR Tech Institute</t>
  </si>
  <si>
    <t>HSU-CEC</t>
  </si>
  <si>
    <t>NWACC-CPTC</t>
  </si>
  <si>
    <t>SACC-Arboretum</t>
  </si>
  <si>
    <t>SAUT-ETA</t>
  </si>
  <si>
    <t>SAUT-FTA</t>
  </si>
  <si>
    <t>UA-SYS</t>
  </si>
  <si>
    <t>UA-AS</t>
  </si>
  <si>
    <t>UA-DivAgri</t>
  </si>
  <si>
    <t>UA-ASMSA</t>
  </si>
  <si>
    <t>UA-CS</t>
  </si>
  <si>
    <t>UA-CJI</t>
  </si>
  <si>
    <t>UAF-ARTP</t>
  </si>
  <si>
    <t>UAF-Autism</t>
  </si>
  <si>
    <t>UAF-GWG</t>
  </si>
  <si>
    <t>UAF-Pryor Center</t>
  </si>
  <si>
    <t>UAF-WTC AR</t>
  </si>
  <si>
    <t>UALR-RAPS</t>
  </si>
  <si>
    <t>UAPB-Nonformula*</t>
  </si>
  <si>
    <t>*UAPB's Recommendation for RSA funding is for federal matching purposes.</t>
  </si>
  <si>
    <t>Health-Related Non-Formula Entity - UAMS</t>
  </si>
  <si>
    <t>UAMS</t>
  </si>
  <si>
    <t>UAMS-ABUSE/RAPE/DV</t>
  </si>
  <si>
    <t>UAMS-Ped/Pysch/Res.</t>
  </si>
  <si>
    <t>UAMS-IC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</si>
</sst>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&quot;$&quot;* #,##0_);_(&quot;$&quot;* \(#,##0\);_(&quot;$&quot;* &quot;-&quot;??_);_(@_)"/>
    <numFmt numFmtId="168" formatCode="_(* #,##0_);_(* \(#,##0\);_(* &quot;-&quot;??_);_(@_)"/>
    <numFmt numFmtId="169" formatCode="0.00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2D668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0" fillId="2" borderId="0" xfId="0" applyFill="1"/>
    <xf numFmtId="165" fontId="4" fillId="2" borderId="0" xfId="0" applyNumberFormat="1" applyFont="1" applyFill="1"/>
    <xf numFmtId="0" fontId="5" fillId="2" borderId="0" xfId="0" applyFont="1" applyFill="1"/>
    <xf numFmtId="166" fontId="0" fillId="2" borderId="0" xfId="0" applyNumberFormat="1" applyFill="1"/>
    <xf numFmtId="167" fontId="0" fillId="2" borderId="0" xfId="2" applyNumberFormat="1" applyFont="1" applyFill="1" applyBorder="1"/>
    <xf numFmtId="0" fontId="7" fillId="0" borderId="0" xfId="0" applyFont="1"/>
    <xf numFmtId="168" fontId="0" fillId="0" borderId="0" xfId="1" applyNumberFormat="1" applyFont="1"/>
    <xf numFmtId="37" fontId="10" fillId="0" borderId="26" xfId="4" applyNumberFormat="1" applyFont="1" applyBorder="1"/>
    <xf numFmtId="3" fontId="0" fillId="0" borderId="0" xfId="0" applyNumberFormat="1"/>
    <xf numFmtId="43" fontId="0" fillId="0" borderId="0" xfId="0" applyNumberFormat="1"/>
    <xf numFmtId="3" fontId="11" fillId="0" borderId="0" xfId="2" applyNumberFormat="1" applyFont="1" applyFill="1" applyBorder="1" applyAlignment="1" applyProtection="1"/>
    <xf numFmtId="164" fontId="8" fillId="2" borderId="0" xfId="1" applyNumberFormat="1" applyFont="1" applyFill="1" applyBorder="1" applyAlignment="1" applyProtection="1"/>
    <xf numFmtId="37" fontId="8" fillId="0" borderId="0" xfId="4" applyNumberFormat="1" applyFont="1"/>
    <xf numFmtId="0" fontId="12" fillId="0" borderId="0" xfId="0" applyFont="1"/>
    <xf numFmtId="165" fontId="0" fillId="0" borderId="0" xfId="0" applyNumberFormat="1"/>
    <xf numFmtId="0" fontId="0" fillId="0" borderId="1" xfId="0" applyBorder="1"/>
    <xf numFmtId="0" fontId="0" fillId="0" borderId="3" xfId="0" applyBorder="1"/>
    <xf numFmtId="10" fontId="0" fillId="2" borderId="0" xfId="3" applyNumberFormat="1" applyFont="1" applyFill="1"/>
    <xf numFmtId="9" fontId="0" fillId="0" borderId="0" xfId="3" applyFont="1"/>
    <xf numFmtId="37" fontId="13" fillId="0" borderId="26" xfId="4" applyNumberFormat="1" applyFont="1" applyBorder="1"/>
    <xf numFmtId="37" fontId="13" fillId="0" borderId="0" xfId="0" applyNumberFormat="1" applyFont="1" applyProtection="1">
      <protection locked="0"/>
    </xf>
    <xf numFmtId="37" fontId="9" fillId="4" borderId="31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Font="1" applyFill="1"/>
    <xf numFmtId="3" fontId="0" fillId="2" borderId="0" xfId="0" applyNumberFormat="1" applyFill="1"/>
    <xf numFmtId="168" fontId="0" fillId="0" borderId="0" xfId="0" applyNumberFormat="1"/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67" fontId="17" fillId="0" borderId="41" xfId="2" applyNumberFormat="1" applyFont="1" applyFill="1" applyBorder="1"/>
    <xf numFmtId="9" fontId="17" fillId="0" borderId="39" xfId="3" applyFont="1" applyBorder="1"/>
    <xf numFmtId="9" fontId="17" fillId="0" borderId="40" xfId="3" applyFont="1" applyBorder="1"/>
    <xf numFmtId="167" fontId="17" fillId="0" borderId="44" xfId="2" applyNumberFormat="1" applyFont="1" applyBorder="1"/>
    <xf numFmtId="168" fontId="17" fillId="0" borderId="42" xfId="0" applyNumberFormat="1" applyFont="1" applyBorder="1"/>
    <xf numFmtId="168" fontId="17" fillId="0" borderId="43" xfId="0" applyNumberFormat="1" applyFont="1" applyBorder="1"/>
    <xf numFmtId="0" fontId="18" fillId="0" borderId="45" xfId="0" applyFont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7" borderId="45" xfId="0" applyFont="1" applyFill="1" applyBorder="1" applyAlignment="1">
      <alignment horizontal="center" vertical="center" wrapText="1"/>
    </xf>
    <xf numFmtId="0" fontId="19" fillId="8" borderId="45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/>
    </xf>
    <xf numFmtId="167" fontId="20" fillId="5" borderId="39" xfId="2" applyNumberFormat="1" applyFont="1" applyFill="1" applyBorder="1" applyAlignment="1">
      <alignment horizontal="center"/>
    </xf>
    <xf numFmtId="168" fontId="20" fillId="9" borderId="39" xfId="1" applyNumberFormat="1" applyFont="1" applyFill="1" applyBorder="1" applyAlignment="1">
      <alignment horizontal="center"/>
    </xf>
    <xf numFmtId="168" fontId="20" fillId="9" borderId="46" xfId="1" applyNumberFormat="1" applyFont="1" applyFill="1" applyBorder="1" applyAlignment="1">
      <alignment horizontal="center"/>
    </xf>
    <xf numFmtId="168" fontId="20" fillId="10" borderId="46" xfId="1" applyNumberFormat="1" applyFont="1" applyFill="1" applyBorder="1" applyAlignment="1">
      <alignment horizontal="center"/>
    </xf>
    <xf numFmtId="10" fontId="0" fillId="5" borderId="47" xfId="3" applyNumberFormat="1" applyFont="1" applyFill="1" applyBorder="1"/>
    <xf numFmtId="0" fontId="19" fillId="0" borderId="48" xfId="0" applyFont="1" applyBorder="1" applyAlignment="1">
      <alignment horizontal="left" vertical="center"/>
    </xf>
    <xf numFmtId="167" fontId="20" fillId="5" borderId="49" xfId="2" applyNumberFormat="1" applyFont="1" applyFill="1" applyBorder="1" applyAlignment="1">
      <alignment horizontal="center"/>
    </xf>
    <xf numFmtId="168" fontId="20" fillId="9" borderId="49" xfId="1" applyNumberFormat="1" applyFont="1" applyFill="1" applyBorder="1" applyAlignment="1">
      <alignment horizontal="center"/>
    </xf>
    <xf numFmtId="168" fontId="20" fillId="9" borderId="50" xfId="1" applyNumberFormat="1" applyFont="1" applyFill="1" applyBorder="1" applyAlignment="1">
      <alignment horizontal="center"/>
    </xf>
    <xf numFmtId="168" fontId="20" fillId="10" borderId="50" xfId="1" applyNumberFormat="1" applyFont="1" applyFill="1" applyBorder="1" applyAlignment="1">
      <alignment horizontal="center"/>
    </xf>
    <xf numFmtId="10" fontId="0" fillId="5" borderId="48" xfId="3" applyNumberFormat="1" applyFont="1" applyFill="1" applyBorder="1"/>
    <xf numFmtId="0" fontId="19" fillId="0" borderId="51" xfId="0" applyFont="1" applyBorder="1" applyAlignment="1">
      <alignment horizontal="left" vertical="center"/>
    </xf>
    <xf numFmtId="167" fontId="20" fillId="5" borderId="52" xfId="2" applyNumberFormat="1" applyFont="1" applyFill="1" applyBorder="1" applyAlignment="1">
      <alignment horizontal="center"/>
    </xf>
    <xf numFmtId="168" fontId="20" fillId="9" borderId="52" xfId="1" applyNumberFormat="1" applyFont="1" applyFill="1" applyBorder="1" applyAlignment="1">
      <alignment horizontal="center"/>
    </xf>
    <xf numFmtId="168" fontId="20" fillId="9" borderId="3" xfId="1" applyNumberFormat="1" applyFont="1" applyFill="1" applyBorder="1" applyAlignment="1">
      <alignment horizontal="center"/>
    </xf>
    <xf numFmtId="168" fontId="20" fillId="10" borderId="3" xfId="1" applyNumberFormat="1" applyFont="1" applyFill="1" applyBorder="1" applyAlignment="1">
      <alignment horizontal="center"/>
    </xf>
    <xf numFmtId="10" fontId="0" fillId="5" borderId="51" xfId="3" applyNumberFormat="1" applyFont="1" applyFill="1" applyBorder="1"/>
    <xf numFmtId="0" fontId="21" fillId="0" borderId="45" xfId="0" applyFont="1" applyBorder="1" applyAlignment="1">
      <alignment horizontal="left" vertical="center"/>
    </xf>
    <xf numFmtId="168" fontId="20" fillId="5" borderId="34" xfId="1" applyNumberFormat="1" applyFont="1" applyFill="1" applyBorder="1" applyAlignment="1">
      <alignment horizontal="center"/>
    </xf>
    <xf numFmtId="168" fontId="20" fillId="9" borderId="45" xfId="1" applyNumberFormat="1" applyFont="1" applyFill="1" applyBorder="1" applyAlignment="1">
      <alignment horizontal="center"/>
    </xf>
    <xf numFmtId="168" fontId="20" fillId="10" borderId="35" xfId="1" applyNumberFormat="1" applyFont="1" applyFill="1" applyBorder="1" applyAlignment="1">
      <alignment horizontal="center"/>
    </xf>
    <xf numFmtId="10" fontId="0" fillId="5" borderId="45" xfId="3" applyNumberFormat="1" applyFont="1" applyFill="1" applyBorder="1"/>
    <xf numFmtId="0" fontId="19" fillId="0" borderId="47" xfId="0" applyFont="1" applyBorder="1" applyAlignment="1">
      <alignment horizontal="left" vertical="center"/>
    </xf>
    <xf numFmtId="167" fontId="20" fillId="5" borderId="53" xfId="2" applyNumberFormat="1" applyFont="1" applyFill="1" applyBorder="1" applyAlignment="1">
      <alignment horizontal="center"/>
    </xf>
    <xf numFmtId="168" fontId="20" fillId="9" borderId="53" xfId="1" applyNumberFormat="1" applyFont="1" applyFill="1" applyBorder="1" applyAlignment="1">
      <alignment horizontal="center"/>
    </xf>
    <xf numFmtId="168" fontId="20" fillId="9" borderId="54" xfId="1" applyNumberFormat="1" applyFont="1" applyFill="1" applyBorder="1" applyAlignment="1">
      <alignment horizontal="center"/>
    </xf>
    <xf numFmtId="168" fontId="20" fillId="10" borderId="54" xfId="1" applyNumberFormat="1" applyFont="1" applyFill="1" applyBorder="1" applyAlignment="1">
      <alignment horizontal="center"/>
    </xf>
    <xf numFmtId="168" fontId="20" fillId="9" borderId="55" xfId="1" applyNumberFormat="1" applyFont="1" applyFill="1" applyBorder="1" applyAlignment="1">
      <alignment horizontal="center"/>
    </xf>
    <xf numFmtId="168" fontId="20" fillId="10" borderId="55" xfId="1" applyNumberFormat="1" applyFont="1" applyFill="1" applyBorder="1" applyAlignment="1">
      <alignment horizontal="center"/>
    </xf>
    <xf numFmtId="167" fontId="20" fillId="5" borderId="32" xfId="2" applyNumberFormat="1" applyFont="1" applyFill="1" applyBorder="1" applyAlignment="1">
      <alignment horizontal="center"/>
    </xf>
    <xf numFmtId="168" fontId="20" fillId="9" borderId="32" xfId="1" applyNumberFormat="1" applyFont="1" applyFill="1" applyBorder="1" applyAlignment="1">
      <alignment horizontal="center"/>
    </xf>
    <xf numFmtId="168" fontId="20" fillId="9" borderId="34" xfId="1" applyNumberFormat="1" applyFont="1" applyFill="1" applyBorder="1" applyAlignment="1">
      <alignment horizontal="center"/>
    </xf>
    <xf numFmtId="168" fontId="20" fillId="10" borderId="34" xfId="1" applyNumberFormat="1" applyFont="1" applyFill="1" applyBorder="1" applyAlignment="1">
      <alignment horizontal="center"/>
    </xf>
    <xf numFmtId="0" fontId="19" fillId="0" borderId="45" xfId="0" applyFont="1" applyBorder="1" applyAlignment="1">
      <alignment horizontal="left"/>
    </xf>
    <xf numFmtId="167" fontId="22" fillId="5" borderId="32" xfId="2" applyNumberFormat="1" applyFont="1" applyFill="1" applyBorder="1" applyAlignment="1">
      <alignment horizontal="center"/>
    </xf>
    <xf numFmtId="168" fontId="22" fillId="9" borderId="32" xfId="1" applyNumberFormat="1" applyFont="1" applyFill="1" applyBorder="1" applyAlignment="1">
      <alignment horizontal="center"/>
    </xf>
    <xf numFmtId="168" fontId="22" fillId="9" borderId="34" xfId="1" applyNumberFormat="1" applyFont="1" applyFill="1" applyBorder="1" applyAlignment="1">
      <alignment horizontal="center"/>
    </xf>
    <xf numFmtId="168" fontId="22" fillId="10" borderId="34" xfId="1" applyNumberFormat="1" applyFont="1" applyFill="1" applyBorder="1" applyAlignment="1">
      <alignment horizontal="center"/>
    </xf>
    <xf numFmtId="10" fontId="23" fillId="5" borderId="45" xfId="3" applyNumberFormat="1" applyFont="1" applyFill="1" applyBorder="1"/>
    <xf numFmtId="22" fontId="24" fillId="0" borderId="0" xfId="0" applyNumberFormat="1" applyFont="1"/>
    <xf numFmtId="37" fontId="3" fillId="0" borderId="2" xfId="4" applyNumberFormat="1" applyBorder="1"/>
    <xf numFmtId="0" fontId="25" fillId="0" borderId="45" xfId="0" applyFont="1" applyBorder="1" applyAlignment="1">
      <alignment horizontal="left" vertical="center"/>
    </xf>
    <xf numFmtId="0" fontId="26" fillId="0" borderId="0" xfId="0" applyFont="1"/>
    <xf numFmtId="0" fontId="25" fillId="0" borderId="41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167" fontId="26" fillId="0" borderId="39" xfId="2" applyNumberFormat="1" applyFont="1" applyFill="1" applyBorder="1" applyAlignment="1">
      <alignment horizontal="center"/>
    </xf>
    <xf numFmtId="167" fontId="26" fillId="0" borderId="49" xfId="2" applyNumberFormat="1" applyFont="1" applyFill="1" applyBorder="1" applyAlignment="1">
      <alignment horizontal="center"/>
    </xf>
    <xf numFmtId="167" fontId="26" fillId="0" borderId="52" xfId="2" applyNumberFormat="1" applyFont="1" applyFill="1" applyBorder="1" applyAlignment="1">
      <alignment horizontal="center"/>
    </xf>
    <xf numFmtId="168" fontId="26" fillId="13" borderId="47" xfId="3" applyNumberFormat="1" applyFont="1" applyFill="1" applyBorder="1"/>
    <xf numFmtId="10" fontId="26" fillId="13" borderId="57" xfId="3" applyNumberFormat="1" applyFont="1" applyFill="1" applyBorder="1"/>
    <xf numFmtId="10" fontId="26" fillId="13" borderId="12" xfId="3" applyNumberFormat="1" applyFont="1" applyFill="1" applyBorder="1"/>
    <xf numFmtId="168" fontId="26" fillId="13" borderId="45" xfId="3" applyNumberFormat="1" applyFont="1" applyFill="1" applyBorder="1"/>
    <xf numFmtId="10" fontId="26" fillId="13" borderId="50" xfId="3" applyNumberFormat="1" applyFont="1" applyFill="1" applyBorder="1"/>
    <xf numFmtId="0" fontId="9" fillId="14" borderId="60" xfId="4" applyFont="1" applyFill="1" applyBorder="1" applyAlignment="1">
      <alignment horizontal="center" wrapText="1"/>
    </xf>
    <xf numFmtId="167" fontId="26" fillId="0" borderId="46" xfId="2" applyNumberFormat="1" applyFont="1" applyFill="1" applyBorder="1" applyAlignment="1">
      <alignment horizontal="left" vertical="center"/>
    </xf>
    <xf numFmtId="167" fontId="26" fillId="0" borderId="54" xfId="2" applyNumberFormat="1" applyFont="1" applyFill="1" applyBorder="1" applyAlignment="1">
      <alignment horizontal="left" vertical="center"/>
    </xf>
    <xf numFmtId="167" fontId="26" fillId="0" borderId="55" xfId="2" applyNumberFormat="1" applyFont="1" applyFill="1" applyBorder="1" applyAlignment="1">
      <alignment horizontal="left" vertical="center"/>
    </xf>
    <xf numFmtId="167" fontId="26" fillId="0" borderId="34" xfId="2" applyNumberFormat="1" applyFont="1" applyFill="1" applyBorder="1" applyAlignment="1">
      <alignment horizontal="left" vertical="center"/>
    </xf>
    <xf numFmtId="167" fontId="0" fillId="0" borderId="0" xfId="0" applyNumberFormat="1"/>
    <xf numFmtId="167" fontId="26" fillId="12" borderId="62" xfId="2" applyNumberFormat="1" applyFont="1" applyFill="1" applyBorder="1"/>
    <xf numFmtId="167" fontId="26" fillId="12" borderId="63" xfId="2" applyNumberFormat="1" applyFont="1" applyFill="1" applyBorder="1"/>
    <xf numFmtId="167" fontId="26" fillId="12" borderId="36" xfId="0" applyNumberFormat="1" applyFont="1" applyFill="1" applyBorder="1"/>
    <xf numFmtId="0" fontId="9" fillId="4" borderId="57" xfId="0" applyFont="1" applyFill="1" applyBorder="1" applyAlignment="1">
      <alignment horizontal="center" wrapText="1"/>
    </xf>
    <xf numFmtId="0" fontId="25" fillId="14" borderId="59" xfId="0" applyFont="1" applyFill="1" applyBorder="1" applyAlignment="1">
      <alignment horizontal="center" wrapText="1"/>
    </xf>
    <xf numFmtId="0" fontId="27" fillId="14" borderId="61" xfId="0" applyFont="1" applyFill="1" applyBorder="1" applyAlignment="1">
      <alignment horizontal="center" wrapText="1"/>
    </xf>
    <xf numFmtId="0" fontId="27" fillId="14" borderId="60" xfId="0" applyFont="1" applyFill="1" applyBorder="1" applyAlignment="1">
      <alignment horizontal="center" wrapText="1"/>
    </xf>
    <xf numFmtId="0" fontId="27" fillId="14" borderId="56" xfId="0" applyFont="1" applyFill="1" applyBorder="1" applyAlignment="1">
      <alignment horizontal="center" wrapText="1"/>
    </xf>
    <xf numFmtId="0" fontId="25" fillId="0" borderId="47" xfId="0" applyFont="1" applyBorder="1" applyAlignment="1">
      <alignment horizontal="left" vertical="center"/>
    </xf>
    <xf numFmtId="44" fontId="0" fillId="0" borderId="0" xfId="0" applyNumberFormat="1"/>
    <xf numFmtId="9" fontId="26" fillId="13" borderId="36" xfId="3" applyFont="1" applyFill="1" applyBorder="1"/>
    <xf numFmtId="167" fontId="10" fillId="0" borderId="26" xfId="2" applyNumberFormat="1" applyFont="1" applyBorder="1" applyAlignment="1"/>
    <xf numFmtId="0" fontId="9" fillId="0" borderId="0" xfId="0" applyFont="1"/>
    <xf numFmtId="0" fontId="28" fillId="2" borderId="0" xfId="0" applyFont="1" applyFill="1" applyAlignment="1">
      <alignment horizontal="centerContinuous"/>
    </xf>
    <xf numFmtId="0" fontId="9" fillId="2" borderId="0" xfId="4" applyFont="1" applyFill="1" applyAlignment="1">
      <alignment horizontal="centerContinuous"/>
    </xf>
    <xf numFmtId="0" fontId="13" fillId="2" borderId="0" xfId="4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13" fillId="2" borderId="0" xfId="0" applyFont="1" applyFill="1"/>
    <xf numFmtId="0" fontId="9" fillId="2" borderId="5" xfId="4" applyFont="1" applyFill="1" applyBorder="1" applyAlignment="1">
      <alignment horizontal="center" wrapText="1"/>
    </xf>
    <xf numFmtId="0" fontId="9" fillId="2" borderId="8" xfId="4" applyFont="1" applyFill="1" applyBorder="1" applyAlignment="1">
      <alignment horizontal="center" wrapText="1"/>
    </xf>
    <xf numFmtId="0" fontId="9" fillId="0" borderId="66" xfId="4" applyFont="1" applyBorder="1" applyAlignment="1">
      <alignment horizontal="center" wrapText="1"/>
    </xf>
    <xf numFmtId="0" fontId="9" fillId="2" borderId="64" xfId="4" applyFont="1" applyFill="1" applyBorder="1" applyAlignment="1">
      <alignment horizontal="center" wrapText="1"/>
    </xf>
    <xf numFmtId="0" fontId="9" fillId="2" borderId="9" xfId="4" applyFont="1" applyFill="1" applyBorder="1" applyAlignment="1">
      <alignment horizontal="center" wrapText="1"/>
    </xf>
    <xf numFmtId="0" fontId="13" fillId="2" borderId="16" xfId="0" applyFont="1" applyFill="1" applyBorder="1"/>
    <xf numFmtId="3" fontId="13" fillId="2" borderId="4" xfId="0" applyNumberFormat="1" applyFont="1" applyFill="1" applyBorder="1"/>
    <xf numFmtId="3" fontId="13" fillId="0" borderId="15" xfId="0" applyNumberFormat="1" applyFont="1" applyBorder="1"/>
    <xf numFmtId="3" fontId="13" fillId="2" borderId="11" xfId="0" applyNumberFormat="1" applyFont="1" applyFill="1" applyBorder="1"/>
    <xf numFmtId="3" fontId="13" fillId="2" borderId="15" xfId="0" applyNumberFormat="1" applyFont="1" applyFill="1" applyBorder="1"/>
    <xf numFmtId="3" fontId="13" fillId="0" borderId="17" xfId="0" applyNumberFormat="1" applyFont="1" applyBorder="1"/>
    <xf numFmtId="164" fontId="13" fillId="2" borderId="5" xfId="0" applyNumberFormat="1" applyFont="1" applyFill="1" applyBorder="1"/>
    <xf numFmtId="10" fontId="26" fillId="0" borderId="0" xfId="3" applyNumberFormat="1" applyFont="1"/>
    <xf numFmtId="3" fontId="13" fillId="2" borderId="4" xfId="1" applyNumberFormat="1" applyFont="1" applyFill="1" applyBorder="1"/>
    <xf numFmtId="3" fontId="13" fillId="0" borderId="15" xfId="1" applyNumberFormat="1" applyFont="1" applyFill="1" applyBorder="1"/>
    <xf numFmtId="3" fontId="13" fillId="2" borderId="11" xfId="1" applyNumberFormat="1" applyFont="1" applyFill="1" applyBorder="1"/>
    <xf numFmtId="3" fontId="13" fillId="0" borderId="17" xfId="1" applyNumberFormat="1" applyFont="1" applyFill="1" applyBorder="1"/>
    <xf numFmtId="0" fontId="13" fillId="2" borderId="22" xfId="0" applyFont="1" applyFill="1" applyBorder="1"/>
    <xf numFmtId="3" fontId="13" fillId="2" borderId="23" xfId="0" applyNumberFormat="1" applyFont="1" applyFill="1" applyBorder="1"/>
    <xf numFmtId="3" fontId="13" fillId="2" borderId="21" xfId="0" applyNumberFormat="1" applyFont="1" applyFill="1" applyBorder="1"/>
    <xf numFmtId="3" fontId="13" fillId="2" borderId="65" xfId="0" applyNumberFormat="1" applyFont="1" applyFill="1" applyBorder="1"/>
    <xf numFmtId="3" fontId="13" fillId="0" borderId="23" xfId="0" applyNumberFormat="1" applyFont="1" applyBorder="1"/>
    <xf numFmtId="164" fontId="13" fillId="2" borderId="7" xfId="0" applyNumberFormat="1" applyFont="1" applyFill="1" applyBorder="1"/>
    <xf numFmtId="3" fontId="13" fillId="2" borderId="0" xfId="0" applyNumberFormat="1" applyFont="1" applyFill="1"/>
    <xf numFmtId="164" fontId="13" fillId="2" borderId="0" xfId="0" applyNumberFormat="1" applyFont="1" applyFill="1"/>
    <xf numFmtId="0" fontId="9" fillId="2" borderId="18" xfId="4" applyFont="1" applyFill="1" applyBorder="1"/>
    <xf numFmtId="0" fontId="9" fillId="2" borderId="19" xfId="4" applyFont="1" applyFill="1" applyBorder="1"/>
    <xf numFmtId="0" fontId="13" fillId="2" borderId="20" xfId="4" applyFont="1" applyFill="1" applyBorder="1"/>
    <xf numFmtId="0" fontId="26" fillId="2" borderId="0" xfId="0" applyFont="1" applyFill="1"/>
    <xf numFmtId="0" fontId="9" fillId="2" borderId="15" xfId="4" applyFont="1" applyFill="1" applyBorder="1" applyAlignment="1">
      <alignment horizontal="center" wrapText="1"/>
    </xf>
    <xf numFmtId="0" fontId="9" fillId="2" borderId="27" xfId="4" applyFont="1" applyFill="1" applyBorder="1" applyAlignment="1">
      <alignment horizontal="center" wrapText="1"/>
    </xf>
    <xf numFmtId="3" fontId="26" fillId="0" borderId="0" xfId="0" applyNumberFormat="1" applyFont="1"/>
    <xf numFmtId="0" fontId="13" fillId="2" borderId="4" xfId="0" applyFont="1" applyFill="1" applyBorder="1"/>
    <xf numFmtId="3" fontId="13" fillId="2" borderId="5" xfId="1" applyNumberFormat="1" applyFont="1" applyFill="1" applyBorder="1"/>
    <xf numFmtId="3" fontId="13" fillId="0" borderId="16" xfId="0" applyNumberFormat="1" applyFont="1" applyBorder="1"/>
    <xf numFmtId="9" fontId="26" fillId="2" borderId="0" xfId="3" applyFont="1" applyFill="1"/>
    <xf numFmtId="0" fontId="13" fillId="2" borderId="6" xfId="0" applyFont="1" applyFill="1" applyBorder="1"/>
    <xf numFmtId="3" fontId="13" fillId="2" borderId="6" xfId="0" applyNumberFormat="1" applyFont="1" applyFill="1" applyBorder="1"/>
    <xf numFmtId="3" fontId="13" fillId="2" borderId="7" xfId="0" applyNumberFormat="1" applyFont="1" applyFill="1" applyBorder="1"/>
    <xf numFmtId="3" fontId="13" fillId="0" borderId="22" xfId="0" applyNumberFormat="1" applyFont="1" applyBorder="1"/>
    <xf numFmtId="2" fontId="26" fillId="2" borderId="0" xfId="0" applyNumberFormat="1" applyFont="1" applyFill="1"/>
    <xf numFmtId="165" fontId="13" fillId="2" borderId="0" xfId="0" applyNumberFormat="1" applyFont="1" applyFill="1"/>
    <xf numFmtId="0" fontId="9" fillId="2" borderId="69" xfId="4" applyFont="1" applyFill="1" applyBorder="1" applyAlignment="1">
      <alignment horizontal="center" wrapText="1"/>
    </xf>
    <xf numFmtId="3" fontId="13" fillId="2" borderId="14" xfId="0" applyNumberFormat="1" applyFont="1" applyFill="1" applyBorder="1"/>
    <xf numFmtId="3" fontId="13" fillId="2" borderId="14" xfId="1" applyNumberFormat="1" applyFont="1" applyFill="1" applyBorder="1"/>
    <xf numFmtId="3" fontId="13" fillId="2" borderId="68" xfId="0" applyNumberFormat="1" applyFont="1" applyFill="1" applyBorder="1"/>
    <xf numFmtId="0" fontId="9" fillId="2" borderId="0" xfId="0" applyFont="1" applyFill="1"/>
    <xf numFmtId="167" fontId="10" fillId="3" borderId="26" xfId="2" applyNumberFormat="1" applyFont="1" applyFill="1" applyBorder="1"/>
    <xf numFmtId="167" fontId="10" fillId="12" borderId="26" xfId="2" applyNumberFormat="1" applyFont="1" applyFill="1" applyBorder="1"/>
    <xf numFmtId="167" fontId="10" fillId="3" borderId="12" xfId="2" applyNumberFormat="1" applyFont="1" applyFill="1" applyBorder="1"/>
    <xf numFmtId="167" fontId="15" fillId="12" borderId="26" xfId="2" applyNumberFormat="1" applyFont="1" applyFill="1" applyBorder="1"/>
    <xf numFmtId="0" fontId="19" fillId="8" borderId="34" xfId="0" applyFont="1" applyFill="1" applyBorder="1" applyAlignment="1">
      <alignment horizontal="center" vertical="center" wrapText="1"/>
    </xf>
    <xf numFmtId="167" fontId="20" fillId="5" borderId="50" xfId="2" applyNumberFormat="1" applyFont="1" applyFill="1" applyBorder="1" applyAlignment="1">
      <alignment horizontal="center"/>
    </xf>
    <xf numFmtId="169" fontId="0" fillId="0" borderId="0" xfId="3" applyNumberFormat="1" applyFont="1"/>
    <xf numFmtId="167" fontId="20" fillId="5" borderId="54" xfId="2" applyNumberFormat="1" applyFont="1" applyFill="1" applyBorder="1" applyAlignment="1">
      <alignment horizontal="center"/>
    </xf>
    <xf numFmtId="9" fontId="0" fillId="0" borderId="0" xfId="0" applyNumberFormat="1"/>
    <xf numFmtId="167" fontId="20" fillId="5" borderId="55" xfId="2" applyNumberFormat="1" applyFont="1" applyFill="1" applyBorder="1" applyAlignment="1">
      <alignment horizontal="center"/>
    </xf>
    <xf numFmtId="167" fontId="20" fillId="5" borderId="34" xfId="2" applyNumberFormat="1" applyFont="1" applyFill="1" applyBorder="1" applyAlignment="1">
      <alignment horizontal="center"/>
    </xf>
    <xf numFmtId="167" fontId="22" fillId="5" borderId="34" xfId="2" applyNumberFormat="1" applyFont="1" applyFill="1" applyBorder="1" applyAlignment="1">
      <alignment horizontal="center"/>
    </xf>
    <xf numFmtId="164" fontId="0" fillId="0" borderId="0" xfId="3" applyNumberFormat="1" applyFont="1"/>
    <xf numFmtId="167" fontId="10" fillId="0" borderId="26" xfId="2" applyNumberFormat="1" applyFont="1" applyFill="1" applyBorder="1" applyAlignment="1"/>
    <xf numFmtId="10" fontId="26" fillId="13" borderId="3" xfId="3" applyNumberFormat="1" applyFont="1" applyFill="1" applyBorder="1"/>
    <xf numFmtId="10" fontId="26" fillId="13" borderId="45" xfId="3" applyNumberFormat="1" applyFont="1" applyFill="1" applyBorder="1"/>
    <xf numFmtId="167" fontId="26" fillId="13" borderId="58" xfId="2" applyNumberFormat="1" applyFont="1" applyFill="1" applyBorder="1"/>
    <xf numFmtId="167" fontId="26" fillId="13" borderId="70" xfId="2" applyNumberFormat="1" applyFont="1" applyFill="1" applyBorder="1"/>
    <xf numFmtId="167" fontId="26" fillId="13" borderId="71" xfId="2" applyNumberFormat="1" applyFont="1" applyFill="1" applyBorder="1"/>
    <xf numFmtId="167" fontId="26" fillId="13" borderId="56" xfId="2" applyNumberFormat="1" applyFont="1" applyFill="1" applyBorder="1"/>
    <xf numFmtId="167" fontId="26" fillId="0" borderId="34" xfId="2" applyNumberFormat="1" applyFont="1" applyFill="1" applyBorder="1" applyAlignment="1">
      <alignment horizontal="center"/>
    </xf>
    <xf numFmtId="167" fontId="26" fillId="13" borderId="72" xfId="2" applyNumberFormat="1" applyFont="1" applyFill="1" applyBorder="1"/>
    <xf numFmtId="167" fontId="26" fillId="13" borderId="73" xfId="2" applyNumberFormat="1" applyFont="1" applyFill="1" applyBorder="1"/>
    <xf numFmtId="167" fontId="26" fillId="13" borderId="74" xfId="2" applyNumberFormat="1" applyFont="1" applyFill="1" applyBorder="1"/>
    <xf numFmtId="167" fontId="26" fillId="13" borderId="76" xfId="2" applyNumberFormat="1" applyFont="1" applyFill="1" applyBorder="1"/>
    <xf numFmtId="167" fontId="26" fillId="13" borderId="41" xfId="2" applyNumberFormat="1" applyFont="1" applyFill="1" applyBorder="1"/>
    <xf numFmtId="167" fontId="26" fillId="13" borderId="47" xfId="2" applyNumberFormat="1" applyFont="1" applyFill="1" applyBorder="1"/>
    <xf numFmtId="167" fontId="26" fillId="13" borderId="75" xfId="2" applyNumberFormat="1" applyFont="1" applyFill="1" applyBorder="1"/>
    <xf numFmtId="167" fontId="26" fillId="13" borderId="45" xfId="2" applyNumberFormat="1" applyFont="1" applyFill="1" applyBorder="1"/>
    <xf numFmtId="167" fontId="26" fillId="13" borderId="50" xfId="2" applyNumberFormat="1" applyFont="1" applyFill="1" applyBorder="1"/>
    <xf numFmtId="167" fontId="26" fillId="13" borderId="34" xfId="2" applyNumberFormat="1" applyFont="1" applyFill="1" applyBorder="1"/>
    <xf numFmtId="0" fontId="9" fillId="4" borderId="47" xfId="0" applyFont="1" applyFill="1" applyBorder="1" applyAlignment="1">
      <alignment horizontal="center" wrapText="1"/>
    </xf>
    <xf numFmtId="0" fontId="9" fillId="2" borderId="67" xfId="4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0" borderId="4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28" xfId="4" applyFont="1" applyBorder="1" applyAlignment="1">
      <alignment horizontal="center"/>
    </xf>
    <xf numFmtId="0" fontId="9" fillId="0" borderId="29" xfId="4" applyFont="1" applyBorder="1" applyAlignment="1">
      <alignment horizontal="center"/>
    </xf>
    <xf numFmtId="0" fontId="9" fillId="0" borderId="30" xfId="4" applyFont="1" applyBorder="1" applyAlignment="1">
      <alignment horizontal="center"/>
    </xf>
    <xf numFmtId="0" fontId="9" fillId="0" borderId="10" xfId="4" applyFont="1" applyBorder="1" applyAlignment="1">
      <alignment horizontal="center" wrapText="1"/>
    </xf>
    <xf numFmtId="0" fontId="9" fillId="0" borderId="13" xfId="4" applyFont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7" xfId="4" applyFont="1" applyBorder="1" applyAlignment="1">
      <alignment horizontal="center" wrapText="1"/>
    </xf>
    <xf numFmtId="0" fontId="9" fillId="0" borderId="27" xfId="4" applyFont="1" applyBorder="1" applyAlignment="1">
      <alignment horizontal="center" wrapText="1"/>
    </xf>
    <xf numFmtId="0" fontId="9" fillId="0" borderId="18" xfId="4" applyFont="1" applyBorder="1" applyAlignment="1">
      <alignment horizontal="center"/>
    </xf>
    <xf numFmtId="0" fontId="9" fillId="0" borderId="19" xfId="4" applyFont="1" applyBorder="1" applyAlignment="1">
      <alignment horizontal="center"/>
    </xf>
    <xf numFmtId="0" fontId="9" fillId="2" borderId="15" xfId="4" applyFont="1" applyFill="1" applyBorder="1" applyAlignment="1">
      <alignment horizontal="center" wrapText="1"/>
    </xf>
    <xf numFmtId="0" fontId="9" fillId="2" borderId="67" xfId="4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3" fillId="2" borderId="10" xfId="4" applyFont="1" applyFill="1" applyBorder="1" applyAlignment="1">
      <alignment horizontal="left" wrapText="1"/>
    </xf>
    <xf numFmtId="0" fontId="13" fillId="2" borderId="16" xfId="4" applyFont="1" applyFill="1" applyBorder="1" applyAlignment="1">
      <alignment horizontal="left" wrapText="1"/>
    </xf>
    <xf numFmtId="0" fontId="13" fillId="2" borderId="13" xfId="4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left" wrapText="1" indent="1"/>
    </xf>
    <xf numFmtId="0" fontId="12" fillId="0" borderId="33" xfId="0" applyFont="1" applyBorder="1" applyAlignment="1">
      <alignment horizontal="left" wrapText="1" indent="1"/>
    </xf>
    <xf numFmtId="10" fontId="16" fillId="0" borderId="34" xfId="3" applyNumberFormat="1" applyFont="1" applyFill="1" applyBorder="1" applyAlignment="1">
      <alignment horizontal="center" vertical="center"/>
    </xf>
    <xf numFmtId="10" fontId="16" fillId="0" borderId="35" xfId="3" applyNumberFormat="1" applyFont="1" applyFill="1" applyBorder="1" applyAlignment="1">
      <alignment horizontal="center" vertical="center"/>
    </xf>
    <xf numFmtId="10" fontId="16" fillId="0" borderId="36" xfId="3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right" indent="1"/>
    </xf>
    <xf numFmtId="0" fontId="12" fillId="0" borderId="40" xfId="0" applyFont="1" applyBorder="1" applyAlignment="1">
      <alignment horizontal="right" indent="1"/>
    </xf>
    <xf numFmtId="0" fontId="12" fillId="0" borderId="42" xfId="0" applyFont="1" applyBorder="1" applyAlignment="1">
      <alignment horizontal="right" indent="1"/>
    </xf>
    <xf numFmtId="0" fontId="12" fillId="0" borderId="43" xfId="0" applyFont="1" applyBorder="1" applyAlignment="1">
      <alignment horizontal="right" indent="1"/>
    </xf>
    <xf numFmtId="0" fontId="25" fillId="14" borderId="34" xfId="0" applyFont="1" applyFill="1" applyBorder="1" applyAlignment="1">
      <alignment horizontal="center"/>
    </xf>
    <xf numFmtId="0" fontId="25" fillId="14" borderId="35" xfId="0" applyFont="1" applyFill="1" applyBorder="1" applyAlignment="1">
      <alignment horizontal="center"/>
    </xf>
    <xf numFmtId="0" fontId="9" fillId="0" borderId="34" xfId="4" applyFont="1" applyBorder="1" applyAlignment="1">
      <alignment horizontal="center"/>
    </xf>
    <xf numFmtId="0" fontId="9" fillId="0" borderId="35" xfId="4" applyFont="1" applyBorder="1" applyAlignment="1">
      <alignment horizontal="center"/>
    </xf>
    <xf numFmtId="0" fontId="9" fillId="0" borderId="36" xfId="4" applyFont="1" applyBorder="1" applyAlignment="1">
      <alignment horizontal="center"/>
    </xf>
    <xf numFmtId="0" fontId="9" fillId="0" borderId="24" xfId="4" applyFont="1" applyBorder="1" applyAlignment="1">
      <alignment horizontal="left"/>
    </xf>
    <xf numFmtId="0" fontId="25" fillId="11" borderId="34" xfId="0" applyFont="1" applyFill="1" applyBorder="1" applyAlignment="1">
      <alignment horizontal="center"/>
    </xf>
    <xf numFmtId="0" fontId="25" fillId="11" borderId="35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5" fillId="14" borderId="36" xfId="0" applyFont="1" applyFill="1" applyBorder="1" applyAlignment="1">
      <alignment horizontal="center"/>
    </xf>
    <xf numFmtId="0" fontId="9" fillId="0" borderId="75" xfId="4" applyFont="1" applyBorder="1" applyAlignment="1">
      <alignment horizontal="left"/>
    </xf>
    <xf numFmtId="0" fontId="9" fillId="0" borderId="75" xfId="4" applyFont="1" applyBorder="1" applyAlignment="1">
      <alignment horizontal="center" wrapText="1"/>
    </xf>
    <xf numFmtId="0" fontId="8" fillId="0" borderId="75" xfId="4" applyFont="1" applyBorder="1" applyAlignment="1">
      <alignment horizontal="center" wrapText="1"/>
    </xf>
    <xf numFmtId="0" fontId="25" fillId="14" borderId="75" xfId="0" applyFont="1" applyFill="1" applyBorder="1" applyAlignment="1">
      <alignment horizontal="center" wrapText="1"/>
    </xf>
    <xf numFmtId="37" fontId="8" fillId="0" borderId="1" xfId="0" applyNumberFormat="1" applyFont="1" applyBorder="1" applyAlignment="1" applyProtection="1">
      <protection locked="0"/>
    </xf>
    <xf numFmtId="37" fontId="8" fillId="0" borderId="34" xfId="0" applyNumberFormat="1" applyFont="1" applyBorder="1" applyAlignment="1" applyProtection="1">
      <alignment horizontal="center"/>
      <protection locked="0"/>
    </xf>
    <xf numFmtId="37" fontId="8" fillId="0" borderId="35" xfId="0" applyNumberFormat="1" applyFont="1" applyBorder="1" applyAlignment="1" applyProtection="1">
      <alignment horizontal="center"/>
      <protection locked="0"/>
    </xf>
    <xf numFmtId="0" fontId="14" fillId="0" borderId="35" xfId="0" applyFont="1" applyBorder="1"/>
    <xf numFmtId="0" fontId="14" fillId="11" borderId="34" xfId="0" applyFont="1" applyFill="1" applyBorder="1" applyAlignment="1">
      <alignment horizontal="center"/>
    </xf>
    <xf numFmtId="0" fontId="14" fillId="11" borderId="35" xfId="0" applyFont="1" applyFill="1" applyBorder="1" applyAlignment="1">
      <alignment horizontal="center"/>
    </xf>
    <xf numFmtId="0" fontId="14" fillId="11" borderId="36" xfId="0" applyFont="1" applyFill="1" applyBorder="1" applyAlignment="1">
      <alignment horizontal="center"/>
    </xf>
    <xf numFmtId="0" fontId="8" fillId="0" borderId="25" xfId="0" applyFont="1" applyBorder="1" applyAlignment="1"/>
    <xf numFmtId="168" fontId="8" fillId="0" borderId="45" xfId="0" applyNumberFormat="1" applyFont="1" applyBorder="1" applyAlignment="1" applyProtection="1">
      <alignment horizontal="center" wrapText="1"/>
      <protection locked="0"/>
    </xf>
    <xf numFmtId="37" fontId="8" fillId="3" borderId="60" xfId="0" applyNumberFormat="1" applyFont="1" applyFill="1" applyBorder="1" applyAlignment="1" applyProtection="1">
      <alignment horizontal="center" wrapText="1"/>
      <protection locked="0"/>
    </xf>
    <xf numFmtId="168" fontId="14" fillId="4" borderId="75" xfId="0" applyNumberFormat="1" applyFont="1" applyFill="1" applyBorder="1" applyAlignment="1">
      <alignment horizontal="center" wrapText="1"/>
    </xf>
    <xf numFmtId="37" fontId="8" fillId="0" borderId="34" xfId="0" applyNumberFormat="1" applyFont="1" applyBorder="1" applyProtection="1">
      <protection locked="0"/>
    </xf>
    <xf numFmtId="167" fontId="11" fillId="0" borderId="45" xfId="2" applyNumberFormat="1" applyFont="1" applyFill="1" applyBorder="1" applyAlignment="1" applyProtection="1"/>
    <xf numFmtId="167" fontId="8" fillId="3" borderId="45" xfId="2" applyNumberFormat="1" applyFont="1" applyFill="1" applyBorder="1" applyAlignment="1" applyProtection="1"/>
    <xf numFmtId="167" fontId="8" fillId="12" borderId="45" xfId="2" applyNumberFormat="1" applyFont="1" applyFill="1" applyBorder="1"/>
    <xf numFmtId="37" fontId="9" fillId="3" borderId="59" xfId="0" applyNumberFormat="1" applyFont="1" applyFill="1" applyBorder="1" applyAlignment="1" applyProtection="1">
      <alignment horizontal="center" wrapText="1"/>
      <protection locked="0"/>
    </xf>
    <xf numFmtId="0" fontId="14" fillId="4" borderId="45" xfId="0" applyFont="1" applyFill="1" applyBorder="1" applyAlignment="1">
      <alignment horizontal="center" wrapText="1"/>
    </xf>
    <xf numFmtId="167" fontId="8" fillId="3" borderId="36" xfId="2" applyNumberFormat="1" applyFont="1" applyFill="1" applyBorder="1" applyAlignment="1" applyProtection="1"/>
    <xf numFmtId="167" fontId="14" fillId="12" borderId="45" xfId="2" applyNumberFormat="1" applyFont="1" applyFill="1" applyBorder="1"/>
    <xf numFmtId="167" fontId="14" fillId="12" borderId="36" xfId="2" applyNumberFormat="1" applyFont="1" applyFill="1" applyBorder="1"/>
  </cellXfs>
  <cellStyles count="6">
    <cellStyle name="Comma" xfId="1" builtinId="3"/>
    <cellStyle name="Comma 3" xfId="5" xr:uid="{00000000-0005-0000-0000-000001000000}"/>
    <cellStyle name="Currency" xfId="2" builtinId="4"/>
    <cellStyle name="Normal" xfId="0" builtinId="0"/>
    <cellStyle name="Normal_Comparison Analysis" xfId="4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BCE292"/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0</xdr:row>
          <xdr:rowOff>0</xdr:rowOff>
        </xdr:from>
        <xdr:to>
          <xdr:col>7</xdr:col>
          <xdr:colOff>942975</xdr:colOff>
          <xdr:row>1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1047750</xdr:colOff>
          <xdr:row>0</xdr:row>
          <xdr:rowOff>0</xdr:rowOff>
        </xdr:from>
        <xdr:to>
          <xdr:col>16</xdr:col>
          <xdr:colOff>200025</xdr:colOff>
          <xdr:row>1</xdr:row>
          <xdr:rowOff>152400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647700</xdr:colOff>
          <xdr:row>0</xdr:row>
          <xdr:rowOff>57150</xdr:rowOff>
        </xdr:from>
        <xdr:to>
          <xdr:col>15</xdr:col>
          <xdr:colOff>1133475</xdr:colOff>
          <xdr:row>1</xdr:row>
          <xdr:rowOff>161925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0</xdr:row>
          <xdr:rowOff>47625</xdr:rowOff>
        </xdr:from>
        <xdr:to>
          <xdr:col>8</xdr:col>
          <xdr:colOff>971550</xdr:colOff>
          <xdr:row>1</xdr:row>
          <xdr:rowOff>200025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showGridLines="0" zoomScaleNormal="100" zoomScaleSheetLayoutView="100" workbookViewId="0">
      <selection activeCell="D34" sqref="D34"/>
    </sheetView>
  </sheetViews>
  <sheetFormatPr defaultColWidth="9.140625" defaultRowHeight="15"/>
  <cols>
    <col min="1" max="1" width="29.28515625" bestFit="1" customWidth="1"/>
    <col min="2" max="2" width="12.85546875" customWidth="1"/>
    <col min="3" max="3" width="14.140625" bestFit="1" customWidth="1"/>
    <col min="4" max="4" width="15.7109375" customWidth="1"/>
    <col min="5" max="6" width="22.140625" bestFit="1" customWidth="1"/>
    <col min="7" max="7" width="13.85546875" bestFit="1" customWidth="1"/>
    <col min="8" max="8" width="16.5703125" bestFit="1" customWidth="1"/>
    <col min="9" max="9" width="17.140625" customWidth="1"/>
    <col min="10" max="10" width="11.28515625" bestFit="1" customWidth="1"/>
    <col min="11" max="11" width="17.140625" customWidth="1"/>
    <col min="12" max="12" width="17.7109375" customWidth="1"/>
    <col min="13" max="13" width="11.140625" bestFit="1" customWidth="1"/>
    <col min="14" max="14" width="9.42578125" customWidth="1"/>
  </cols>
  <sheetData>
    <row r="1" spans="1:14" ht="21">
      <c r="A1" s="199" t="s">
        <v>0</v>
      </c>
      <c r="B1" s="199"/>
      <c r="C1" s="199"/>
      <c r="D1" s="199"/>
      <c r="E1" s="199"/>
      <c r="F1" s="199"/>
      <c r="G1" s="199"/>
      <c r="H1" s="199"/>
      <c r="I1" s="165"/>
      <c r="J1" s="165"/>
      <c r="K1" s="165"/>
      <c r="L1" s="23"/>
      <c r="M1" s="23"/>
      <c r="N1" s="23"/>
    </row>
    <row r="2" spans="1:14" ht="16.5" thickBot="1">
      <c r="A2" s="114"/>
      <c r="B2" s="115"/>
      <c r="C2" s="115"/>
      <c r="D2" s="115"/>
      <c r="E2" s="115"/>
      <c r="F2" s="115"/>
      <c r="G2" s="116"/>
      <c r="H2" s="117"/>
      <c r="I2" s="117"/>
      <c r="J2" s="117"/>
      <c r="K2" s="118"/>
      <c r="L2" s="1"/>
      <c r="M2" s="1"/>
      <c r="N2" s="1"/>
    </row>
    <row r="3" spans="1:14" ht="16.5" customHeight="1" thickTop="1">
      <c r="A3" s="223" t="s">
        <v>1</v>
      </c>
      <c r="B3" s="216" t="s">
        <v>2</v>
      </c>
      <c r="C3" s="217"/>
      <c r="D3" s="217"/>
      <c r="E3" s="217"/>
      <c r="F3" s="208" t="s">
        <v>3</v>
      </c>
      <c r="G3" s="209"/>
      <c r="H3" s="210"/>
      <c r="I3" s="83"/>
      <c r="J3" s="83"/>
      <c r="K3" s="83"/>
    </row>
    <row r="4" spans="1:14" ht="15.75" customHeight="1" thickBot="1">
      <c r="A4" s="224"/>
      <c r="B4" s="200"/>
      <c r="C4" s="201"/>
      <c r="D4" s="201"/>
      <c r="E4" s="201"/>
      <c r="F4" s="220"/>
      <c r="G4" s="221"/>
      <c r="H4" s="222"/>
      <c r="I4" s="83"/>
      <c r="J4" s="83"/>
      <c r="K4" s="83"/>
    </row>
    <row r="5" spans="1:14" ht="19.5" customHeight="1" thickTop="1" thickBot="1">
      <c r="A5" s="224"/>
      <c r="B5" s="203"/>
      <c r="C5" s="204"/>
      <c r="D5" s="204"/>
      <c r="E5" s="205"/>
      <c r="F5" s="214" t="s">
        <v>4</v>
      </c>
      <c r="G5" s="218" t="s">
        <v>5</v>
      </c>
      <c r="H5" s="119"/>
      <c r="I5" s="83"/>
      <c r="J5" s="83"/>
      <c r="K5" s="83"/>
    </row>
    <row r="6" spans="1:14" ht="48.75" thickTop="1" thickBot="1">
      <c r="A6" s="225"/>
      <c r="B6" s="120" t="s">
        <v>6</v>
      </c>
      <c r="C6" s="121" t="s">
        <v>7</v>
      </c>
      <c r="D6" s="161" t="s">
        <v>8</v>
      </c>
      <c r="E6" s="122" t="s">
        <v>9</v>
      </c>
      <c r="F6" s="215"/>
      <c r="G6" s="219"/>
      <c r="H6" s="123" t="s">
        <v>10</v>
      </c>
      <c r="I6" s="83"/>
      <c r="J6" s="83"/>
      <c r="K6" s="83"/>
    </row>
    <row r="7" spans="1:14" ht="15.75">
      <c r="A7" s="124" t="s">
        <v>11</v>
      </c>
      <c r="B7" s="125">
        <f>'4yr'!B15</f>
        <v>50456760</v>
      </c>
      <c r="C7" s="126">
        <f>'4yr'!C15</f>
        <v>2157610</v>
      </c>
      <c r="D7" s="162">
        <f>'4yr'!D15</f>
        <v>440233099.80507809</v>
      </c>
      <c r="E7" s="127">
        <f>'4yr'!F15</f>
        <v>489284963.58445692</v>
      </c>
      <c r="F7" s="129">
        <f>'4yr'!P15</f>
        <v>494039408.03357267</v>
      </c>
      <c r="G7" s="127">
        <f>'4yr'!Q15</f>
        <v>4754444.4491157755</v>
      </c>
      <c r="H7" s="130">
        <f>G7/E7</f>
        <v>9.7171276515124229E-3</v>
      </c>
      <c r="I7" s="83"/>
      <c r="J7" s="131"/>
      <c r="K7" s="83"/>
    </row>
    <row r="8" spans="1:14" ht="16.5" thickBot="1">
      <c r="A8" s="124" t="s">
        <v>12</v>
      </c>
      <c r="B8" s="132">
        <f>'2yr'!B27</f>
        <v>9943261.4634472486</v>
      </c>
      <c r="C8" s="133">
        <f>'2yr'!C27</f>
        <v>23372671</v>
      </c>
      <c r="D8" s="163">
        <f>'2yr'!D27</f>
        <v>147775520.22</v>
      </c>
      <c r="E8" s="134">
        <f>'2yr'!F27</f>
        <v>178928582.65102243</v>
      </c>
      <c r="F8" s="135">
        <f>'2yr'!P27</f>
        <v>180514004.63625154</v>
      </c>
      <c r="G8" s="127">
        <f>'2yr'!Q27</f>
        <v>1585421.9852291266</v>
      </c>
      <c r="H8" s="130">
        <f>G8/E8</f>
        <v>8.8606412778739312E-3</v>
      </c>
      <c r="I8" s="83"/>
      <c r="J8" s="131"/>
      <c r="K8" s="83"/>
    </row>
    <row r="9" spans="1:14" ht="17.25" thickTop="1" thickBot="1">
      <c r="A9" s="136" t="s">
        <v>13</v>
      </c>
      <c r="B9" s="137">
        <f t="shared" ref="B9:G9" si="0">SUM(B7:B8)</f>
        <v>60400021.46344725</v>
      </c>
      <c r="C9" s="138">
        <f t="shared" si="0"/>
        <v>25530281</v>
      </c>
      <c r="D9" s="164">
        <f t="shared" si="0"/>
        <v>588008620.02507806</v>
      </c>
      <c r="E9" s="139">
        <f t="shared" si="0"/>
        <v>668213546.23547935</v>
      </c>
      <c r="F9" s="140">
        <f t="shared" si="0"/>
        <v>674553412.66982424</v>
      </c>
      <c r="G9" s="139">
        <f t="shared" si="0"/>
        <v>6339866.4343449026</v>
      </c>
      <c r="H9" s="141">
        <f>G9/E9</f>
        <v>9.4877849604544304E-3</v>
      </c>
      <c r="I9" s="83"/>
      <c r="J9" s="131"/>
      <c r="K9" s="83"/>
    </row>
    <row r="10" spans="1:14" ht="16.5" thickTop="1">
      <c r="A10" s="118"/>
      <c r="B10" s="142"/>
      <c r="C10" s="142"/>
      <c r="D10" s="142"/>
      <c r="E10" s="142"/>
      <c r="F10" s="142"/>
      <c r="G10" s="142"/>
      <c r="H10" s="142"/>
      <c r="I10" s="142"/>
      <c r="J10" s="142"/>
      <c r="K10" s="143"/>
      <c r="L10" s="2"/>
      <c r="M10" s="2"/>
      <c r="N10" s="2"/>
    </row>
    <row r="11" spans="1:14" ht="16.5" thickBot="1">
      <c r="A11" s="114"/>
      <c r="B11" s="115"/>
      <c r="C11" s="115"/>
      <c r="D11" s="115"/>
      <c r="E11" s="115"/>
      <c r="F11" s="115"/>
      <c r="G11" s="116"/>
      <c r="H11" s="117"/>
      <c r="I11" s="117"/>
      <c r="J11" s="117"/>
      <c r="K11" s="118"/>
      <c r="M11" s="24"/>
      <c r="N11" s="1"/>
    </row>
    <row r="12" spans="1:14" ht="16.5" thickTop="1">
      <c r="A12" s="223" t="s">
        <v>14</v>
      </c>
      <c r="B12" s="144"/>
      <c r="C12" s="145"/>
      <c r="D12" s="146"/>
      <c r="E12" s="208" t="s">
        <v>15</v>
      </c>
      <c r="F12" s="209"/>
      <c r="G12" s="210"/>
      <c r="H12" s="113"/>
      <c r="I12" s="147"/>
      <c r="J12" s="147"/>
      <c r="K12" s="147"/>
    </row>
    <row r="13" spans="1:14" ht="17.25" customHeight="1" thickBot="1">
      <c r="A13" s="224"/>
      <c r="B13" s="200" t="s">
        <v>2</v>
      </c>
      <c r="C13" s="201"/>
      <c r="D13" s="202"/>
      <c r="E13" s="211" t="s">
        <v>16</v>
      </c>
      <c r="F13" s="212"/>
      <c r="G13" s="213"/>
      <c r="H13" s="113"/>
      <c r="I13" s="147"/>
      <c r="J13" s="147"/>
      <c r="K13" s="147"/>
    </row>
    <row r="14" spans="1:14" ht="19.5" customHeight="1" thickTop="1" thickBot="1">
      <c r="A14" s="224"/>
      <c r="B14" s="203"/>
      <c r="C14" s="204"/>
      <c r="D14" s="205"/>
      <c r="E14" s="206" t="s">
        <v>17</v>
      </c>
      <c r="F14" s="148"/>
      <c r="G14" s="119"/>
      <c r="H14" s="147"/>
      <c r="I14" s="147"/>
      <c r="J14" s="147"/>
      <c r="K14" s="83"/>
    </row>
    <row r="15" spans="1:14" ht="48.75" thickTop="1" thickBot="1">
      <c r="A15" s="225"/>
      <c r="B15" s="149" t="s">
        <v>6</v>
      </c>
      <c r="C15" s="161" t="s">
        <v>8</v>
      </c>
      <c r="D15" s="123" t="s">
        <v>18</v>
      </c>
      <c r="E15" s="207"/>
      <c r="F15" s="198" t="s">
        <v>5</v>
      </c>
      <c r="G15" s="123" t="s">
        <v>10</v>
      </c>
      <c r="H15" s="147"/>
      <c r="I15" s="147"/>
      <c r="J15" s="147"/>
      <c r="K15" s="150"/>
    </row>
    <row r="16" spans="1:14" ht="15.75">
      <c r="A16" s="151" t="s">
        <v>19</v>
      </c>
      <c r="B16" s="125">
        <f>Nonformula!B29</f>
        <v>18585292</v>
      </c>
      <c r="C16" s="162">
        <f>Nonformula!C29</f>
        <v>91976202</v>
      </c>
      <c r="D16" s="152">
        <f>Nonformula!D29</f>
        <v>110561494</v>
      </c>
      <c r="E16" s="153">
        <f>Nonformula!I29</f>
        <v>131483111.13999999</v>
      </c>
      <c r="F16" s="128">
        <f>E16-D16</f>
        <v>20921617.139999986</v>
      </c>
      <c r="G16" s="130">
        <f>F16/D16</f>
        <v>0.18923059360974251</v>
      </c>
      <c r="H16" s="147"/>
      <c r="I16" s="147"/>
      <c r="J16" s="147"/>
      <c r="K16" s="83"/>
      <c r="L16" s="9"/>
    </row>
    <row r="17" spans="1:14" ht="16.5" thickBot="1">
      <c r="A17" s="151" t="s">
        <v>20</v>
      </c>
      <c r="B17" s="125">
        <f>Nonformula!B39</f>
        <v>13070364</v>
      </c>
      <c r="C17" s="162">
        <f>Nonformula!C39</f>
        <v>95786321</v>
      </c>
      <c r="D17" s="152">
        <f>Nonformula!D39</f>
        <v>108856685</v>
      </c>
      <c r="E17" s="153">
        <f>Nonformula!I39</f>
        <v>138014221.47</v>
      </c>
      <c r="F17" s="128">
        <f>E17-D17</f>
        <v>29157536.469999999</v>
      </c>
      <c r="G17" s="130">
        <f>F17/D17</f>
        <v>0.26785251149251882</v>
      </c>
      <c r="H17" s="147"/>
      <c r="I17" s="154"/>
      <c r="J17" s="147"/>
      <c r="K17" s="83"/>
    </row>
    <row r="18" spans="1:14" ht="17.25" thickTop="1" thickBot="1">
      <c r="A18" s="155" t="s">
        <v>13</v>
      </c>
      <c r="B18" s="156">
        <f>SUM(B16:B17)</f>
        <v>31655656</v>
      </c>
      <c r="C18" s="164">
        <f>SUM(C16:C17)</f>
        <v>187762523</v>
      </c>
      <c r="D18" s="157">
        <f>SUM(D16:D17)</f>
        <v>219418179</v>
      </c>
      <c r="E18" s="158">
        <f>E16+E17</f>
        <v>269497332.61000001</v>
      </c>
      <c r="F18" s="138">
        <f>SUM(F16:F17)</f>
        <v>50079153.609999985</v>
      </c>
      <c r="G18" s="141">
        <f>F18/D18</f>
        <v>0.22823611898629415</v>
      </c>
      <c r="H18" s="147"/>
      <c r="I18" s="159"/>
      <c r="J18" s="147"/>
      <c r="K18" s="83"/>
    </row>
    <row r="19" spans="1:14" ht="16.5" thickTop="1">
      <c r="A19" s="118"/>
      <c r="B19" s="142"/>
      <c r="C19" s="142"/>
      <c r="D19" s="142"/>
      <c r="E19" s="142"/>
      <c r="F19" s="142"/>
      <c r="G19" s="142"/>
      <c r="H19" s="142"/>
      <c r="I19" s="142"/>
      <c r="J19" s="143"/>
      <c r="K19" s="160"/>
      <c r="L19" s="2"/>
      <c r="M19" s="2"/>
      <c r="N19" s="1"/>
    </row>
    <row r="20" spans="1:14">
      <c r="A20" s="3"/>
      <c r="B20" s="1"/>
      <c r="C20" s="1"/>
      <c r="D20" s="1"/>
      <c r="E20" s="1"/>
      <c r="F20" s="1"/>
      <c r="G20" s="4"/>
      <c r="H20" s="5"/>
      <c r="I20" s="4"/>
      <c r="J20" s="1"/>
    </row>
    <row r="21" spans="1:14">
      <c r="A21" s="1"/>
      <c r="B21" s="1"/>
      <c r="C21" s="1"/>
      <c r="D21" s="1"/>
      <c r="E21" s="1"/>
      <c r="F21" s="1"/>
      <c r="G21" s="1"/>
      <c r="H21" s="2"/>
      <c r="I21" s="1"/>
      <c r="J21" s="18"/>
    </row>
    <row r="22" spans="1:14">
      <c r="J22" s="19"/>
    </row>
  </sheetData>
  <mergeCells count="11">
    <mergeCell ref="A1:H1"/>
    <mergeCell ref="B13:D14"/>
    <mergeCell ref="E14:E15"/>
    <mergeCell ref="E12:G12"/>
    <mergeCell ref="E13:G13"/>
    <mergeCell ref="F5:F6"/>
    <mergeCell ref="B3:E5"/>
    <mergeCell ref="G5:G6"/>
    <mergeCell ref="F3:H4"/>
    <mergeCell ref="A3:A6"/>
    <mergeCell ref="A12:A15"/>
  </mergeCells>
  <printOptions horizontalCentered="1"/>
  <pageMargins left="0.7" right="0.7" top="0.75" bottom="0.75" header="0.3" footer="0.3"/>
  <pageSetup scale="83" orientation="landscape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>
              <from>
                <xdr:col>7</xdr:col>
                <xdr:colOff>400050</xdr:colOff>
                <xdr:row>0</xdr:row>
                <xdr:rowOff>0</xdr:rowOff>
              </from>
              <to>
                <xdr:col>7</xdr:col>
                <xdr:colOff>942975</xdr:colOff>
                <xdr:row>1</xdr:row>
                <xdr:rowOff>142875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showGridLines="0" topLeftCell="A16" workbookViewId="0">
      <selection activeCell="C19" sqref="C19:C40"/>
    </sheetView>
  </sheetViews>
  <sheetFormatPr defaultRowHeight="15"/>
  <cols>
    <col min="1" max="1" width="15.42578125" customWidth="1"/>
    <col min="2" max="2" width="19" bestFit="1" customWidth="1"/>
    <col min="3" max="3" width="18.140625" bestFit="1" customWidth="1"/>
    <col min="4" max="4" width="19" bestFit="1" customWidth="1"/>
    <col min="5" max="5" width="14.5703125" bestFit="1" customWidth="1"/>
    <col min="6" max="6" width="15" customWidth="1"/>
    <col min="7" max="7" width="13.28515625" bestFit="1" customWidth="1"/>
    <col min="8" max="8" width="12" bestFit="1" customWidth="1"/>
    <col min="10" max="10" width="12.5703125" bestFit="1" customWidth="1"/>
    <col min="12" max="12" width="10.5703125" bestFit="1" customWidth="1"/>
  </cols>
  <sheetData>
    <row r="1" spans="1:15" ht="45.75" customHeight="1" thickBot="1">
      <c r="A1" s="226" t="s">
        <v>21</v>
      </c>
      <c r="B1" s="227"/>
      <c r="C1" s="227"/>
      <c r="D1" s="227"/>
      <c r="E1" s="227"/>
      <c r="F1" s="227"/>
    </row>
    <row r="2" spans="1:15" ht="29.25" customHeight="1" thickBot="1">
      <c r="A2" s="228" t="s">
        <v>22</v>
      </c>
      <c r="B2" s="229"/>
      <c r="C2" s="230">
        <f>IF(H42&gt;0.02,0.02,H42)</f>
        <v>1.088794280853304E-2</v>
      </c>
      <c r="D2" s="231"/>
      <c r="E2" s="232"/>
    </row>
    <row r="3" spans="1:15" ht="16.5" thickBot="1">
      <c r="D3" s="26" t="s">
        <v>11</v>
      </c>
      <c r="E3" s="27" t="s">
        <v>12</v>
      </c>
    </row>
    <row r="4" spans="1:15" ht="15.75">
      <c r="A4" s="233" t="s">
        <v>23</v>
      </c>
      <c r="B4" s="234"/>
      <c r="C4" s="28">
        <f>D42</f>
        <v>582283243.77203202</v>
      </c>
      <c r="D4" s="29">
        <f>D18/D42</f>
        <v>0.74992814623292936</v>
      </c>
      <c r="E4" s="30">
        <f>D41/D42</f>
        <v>0.25007185376707075</v>
      </c>
    </row>
    <row r="5" spans="1:15" ht="16.5" thickBot="1">
      <c r="A5" s="235" t="s">
        <v>24</v>
      </c>
      <c r="B5" s="236"/>
      <c r="C5" s="31">
        <f>+C4*C2</f>
        <v>6339866.6565569872</v>
      </c>
      <c r="D5" s="32">
        <f>D4*C5</f>
        <v>4754444.4491157411</v>
      </c>
      <c r="E5" s="33">
        <f>E4*C5</f>
        <v>1585422.2074412466</v>
      </c>
    </row>
    <row r="6" spans="1:15" ht="15.75" thickBot="1"/>
    <row r="7" spans="1:15" ht="45.75" thickBot="1">
      <c r="A7" s="34" t="s">
        <v>25</v>
      </c>
      <c r="B7" s="35" t="s">
        <v>26</v>
      </c>
      <c r="C7" s="170" t="s">
        <v>27</v>
      </c>
      <c r="D7" s="170" t="s">
        <v>28</v>
      </c>
      <c r="E7" s="36" t="s">
        <v>29</v>
      </c>
      <c r="F7" s="37" t="s">
        <v>30</v>
      </c>
      <c r="G7" s="38" t="s">
        <v>31</v>
      </c>
      <c r="H7" s="39" t="s">
        <v>32</v>
      </c>
    </row>
    <row r="8" spans="1:15">
      <c r="A8" s="40" t="s">
        <v>33</v>
      </c>
      <c r="B8" s="41">
        <v>59357665.19780957</v>
      </c>
      <c r="C8" s="171">
        <v>122087.27780956961</v>
      </c>
      <c r="D8" s="171">
        <f t="shared" ref="D8:D17" si="0">B8-C8</f>
        <v>59235577.920000002</v>
      </c>
      <c r="E8" s="42">
        <v>31025.444713747802</v>
      </c>
      <c r="F8" s="43">
        <v>31344.861546479038</v>
      </c>
      <c r="G8" s="44">
        <f>F8-E8</f>
        <v>319.41683273123635</v>
      </c>
      <c r="H8" s="45">
        <f t="shared" ref="H8:H42" si="1">G8/E8</f>
        <v>1.0295318429060209E-2</v>
      </c>
      <c r="J8" s="172"/>
      <c r="K8" s="19"/>
      <c r="L8" s="25"/>
    </row>
    <row r="9" spans="1:15">
      <c r="A9" s="46" t="s">
        <v>34</v>
      </c>
      <c r="B9" s="47">
        <v>38234177</v>
      </c>
      <c r="C9" s="173">
        <v>379065.29003635736</v>
      </c>
      <c r="D9" s="171">
        <f t="shared" si="0"/>
        <v>37855111.709963642</v>
      </c>
      <c r="E9" s="48">
        <v>23731.529233810794</v>
      </c>
      <c r="F9" s="49">
        <v>23076.039476039878</v>
      </c>
      <c r="G9" s="50">
        <f t="shared" ref="G9:G17" si="2">F9-E9</f>
        <v>-655.48975777091619</v>
      </c>
      <c r="H9" s="51">
        <f t="shared" si="1"/>
        <v>-2.7621050093856851E-2</v>
      </c>
      <c r="J9" s="100"/>
      <c r="K9" s="19"/>
      <c r="L9" s="25"/>
      <c r="O9" s="174"/>
    </row>
    <row r="10" spans="1:15">
      <c r="A10" s="46" t="s">
        <v>35</v>
      </c>
      <c r="B10" s="47">
        <v>19252049.282283593</v>
      </c>
      <c r="C10" s="173">
        <v>0</v>
      </c>
      <c r="D10" s="171">
        <f t="shared" si="0"/>
        <v>19252049.282283593</v>
      </c>
      <c r="E10" s="48">
        <v>8019.3436465332306</v>
      </c>
      <c r="F10" s="49">
        <v>7970.0860922011561</v>
      </c>
      <c r="G10" s="50">
        <f t="shared" si="2"/>
        <v>-49.257554332074506</v>
      </c>
      <c r="H10" s="51">
        <f t="shared" si="1"/>
        <v>-6.1423423790260678E-3</v>
      </c>
      <c r="J10" s="100"/>
      <c r="K10" s="19"/>
      <c r="L10" s="25"/>
      <c r="O10" s="174"/>
    </row>
    <row r="11" spans="1:15">
      <c r="A11" s="46" t="s">
        <v>36</v>
      </c>
      <c r="B11" s="47">
        <v>17278600</v>
      </c>
      <c r="C11" s="173">
        <v>0</v>
      </c>
      <c r="D11" s="171">
        <f t="shared" si="0"/>
        <v>17278600</v>
      </c>
      <c r="E11" s="48">
        <v>10826.860372982794</v>
      </c>
      <c r="F11" s="49">
        <v>10402.577976015935</v>
      </c>
      <c r="G11" s="50">
        <f t="shared" si="2"/>
        <v>-424.28239696685887</v>
      </c>
      <c r="H11" s="51">
        <f t="shared" si="1"/>
        <v>-3.9187943905290186E-2</v>
      </c>
      <c r="J11" s="100"/>
      <c r="K11" s="19"/>
      <c r="L11" s="25"/>
      <c r="O11" s="174"/>
    </row>
    <row r="12" spans="1:15">
      <c r="A12" s="46" t="s">
        <v>37</v>
      </c>
      <c r="B12" s="47">
        <v>130852703.39277524</v>
      </c>
      <c r="C12" s="173">
        <v>3061353.6527752373</v>
      </c>
      <c r="D12" s="171">
        <f t="shared" si="0"/>
        <v>127791349.73999999</v>
      </c>
      <c r="E12" s="48">
        <v>65754.379097366022</v>
      </c>
      <c r="F12" s="49">
        <v>69511.235338146158</v>
      </c>
      <c r="G12" s="50">
        <f t="shared" si="2"/>
        <v>3756.8562407801364</v>
      </c>
      <c r="H12" s="51">
        <f t="shared" si="1"/>
        <v>5.713469266004563E-2</v>
      </c>
      <c r="J12" s="100"/>
      <c r="K12" s="19"/>
      <c r="L12" s="25"/>
    </row>
    <row r="13" spans="1:15">
      <c r="A13" s="46" t="s">
        <v>38</v>
      </c>
      <c r="B13" s="47">
        <v>21913603</v>
      </c>
      <c r="C13" s="173">
        <v>0</v>
      </c>
      <c r="D13" s="171">
        <f t="shared" si="0"/>
        <v>21913603</v>
      </c>
      <c r="E13" s="48">
        <v>12619.785835658615</v>
      </c>
      <c r="F13" s="49">
        <v>12233.619317271612</v>
      </c>
      <c r="G13" s="50">
        <f t="shared" si="2"/>
        <v>-386.16651838700272</v>
      </c>
      <c r="H13" s="51">
        <f t="shared" si="1"/>
        <v>-3.0600084931381805E-2</v>
      </c>
      <c r="J13" s="100"/>
      <c r="K13" s="19"/>
      <c r="L13" s="25"/>
    </row>
    <row r="14" spans="1:15">
      <c r="A14" s="46" t="s">
        <v>39</v>
      </c>
      <c r="B14" s="47">
        <v>56239811.868658654</v>
      </c>
      <c r="C14" s="173">
        <v>0</v>
      </c>
      <c r="D14" s="171">
        <f t="shared" si="0"/>
        <v>56239811.868658654</v>
      </c>
      <c r="E14" s="48">
        <v>21341.518189184651</v>
      </c>
      <c r="F14" s="49">
        <v>21451.688391072301</v>
      </c>
      <c r="G14" s="50">
        <f t="shared" si="2"/>
        <v>110.17020188764945</v>
      </c>
      <c r="H14" s="51">
        <f t="shared" si="1"/>
        <v>5.1622476391337971E-3</v>
      </c>
      <c r="J14" s="100"/>
      <c r="K14" s="19"/>
      <c r="L14" s="25"/>
    </row>
    <row r="15" spans="1:15">
      <c r="A15" s="46" t="s">
        <v>40</v>
      </c>
      <c r="B15" s="47">
        <v>17385204</v>
      </c>
      <c r="C15" s="173">
        <v>0</v>
      </c>
      <c r="D15" s="171">
        <f t="shared" si="0"/>
        <v>17385204</v>
      </c>
      <c r="E15" s="48">
        <v>6643.0652364238795</v>
      </c>
      <c r="F15" s="49">
        <v>6477.5527246653819</v>
      </c>
      <c r="G15" s="50">
        <f t="shared" si="2"/>
        <v>-165.51251175849757</v>
      </c>
      <c r="H15" s="51">
        <f t="shared" si="1"/>
        <v>-2.4915081497468013E-2</v>
      </c>
      <c r="J15" s="100"/>
      <c r="K15" s="19"/>
      <c r="L15" s="25"/>
    </row>
    <row r="16" spans="1:15">
      <c r="A16" s="46" t="s">
        <v>41</v>
      </c>
      <c r="B16" s="47">
        <v>22895311.714750133</v>
      </c>
      <c r="C16" s="173">
        <v>0</v>
      </c>
      <c r="D16" s="171">
        <f t="shared" si="0"/>
        <v>22895311.714750133</v>
      </c>
      <c r="E16" s="48">
        <v>7350.3625647227946</v>
      </c>
      <c r="F16" s="49">
        <v>7047.5877577206757</v>
      </c>
      <c r="G16" s="50">
        <f t="shared" si="2"/>
        <v>-302.77480700211891</v>
      </c>
      <c r="H16" s="51">
        <f t="shared" si="1"/>
        <v>-4.1191819360755236E-2</v>
      </c>
      <c r="J16" s="100"/>
      <c r="K16" s="19"/>
      <c r="L16" s="25"/>
    </row>
    <row r="17" spans="1:12" ht="15.75" thickBot="1">
      <c r="A17" s="52" t="s">
        <v>42</v>
      </c>
      <c r="B17" s="53">
        <v>56823974.34880089</v>
      </c>
      <c r="C17" s="175">
        <v>0</v>
      </c>
      <c r="D17" s="171">
        <f t="shared" si="0"/>
        <v>56823974.34880089</v>
      </c>
      <c r="E17" s="54">
        <v>25955.667809602572</v>
      </c>
      <c r="F17" s="55">
        <v>26003.554498240126</v>
      </c>
      <c r="G17" s="56">
        <f t="shared" si="2"/>
        <v>47.886688637554471</v>
      </c>
      <c r="H17" s="57">
        <f t="shared" si="1"/>
        <v>1.8449414975113176E-3</v>
      </c>
      <c r="J17" s="100"/>
      <c r="K17" s="19"/>
      <c r="L17" s="25"/>
    </row>
    <row r="18" spans="1:12" ht="16.5" thickBot="1">
      <c r="A18" s="58" t="s">
        <v>43</v>
      </c>
      <c r="B18" s="59">
        <f t="shared" ref="B18:G18" si="3">SUM(B8:B17)</f>
        <v>440233099.80507809</v>
      </c>
      <c r="C18" s="59">
        <f t="shared" si="3"/>
        <v>3562506.2206211644</v>
      </c>
      <c r="D18" s="59">
        <f t="shared" si="3"/>
        <v>436670593.58445686</v>
      </c>
      <c r="E18" s="60">
        <f t="shared" si="3"/>
        <v>213267.95670003316</v>
      </c>
      <c r="F18" s="60">
        <f>SUM(F8:F17)</f>
        <v>215518.80311785222</v>
      </c>
      <c r="G18" s="61">
        <f t="shared" si="3"/>
        <v>2250.846417819108</v>
      </c>
      <c r="H18" s="62">
        <f t="shared" si="1"/>
        <v>1.0554076911727443E-2</v>
      </c>
      <c r="J18" s="19"/>
      <c r="K18" s="19"/>
      <c r="L18" s="25"/>
    </row>
    <row r="19" spans="1:12">
      <c r="A19" s="63" t="s">
        <v>44</v>
      </c>
      <c r="B19" s="64">
        <v>8885744.9095738772</v>
      </c>
      <c r="C19" s="171">
        <v>0</v>
      </c>
      <c r="D19" s="171">
        <f t="shared" ref="D19:D40" si="4">B19-C19</f>
        <v>8885744.9095738772</v>
      </c>
      <c r="E19" s="65">
        <v>3159.0125796855714</v>
      </c>
      <c r="F19" s="49">
        <v>3217.9334395621627</v>
      </c>
      <c r="G19" s="50">
        <f t="shared" ref="G19:G40" si="5">F19-E19</f>
        <v>58.920859876591294</v>
      </c>
      <c r="H19" s="45">
        <f t="shared" si="1"/>
        <v>1.8651669909606979E-2</v>
      </c>
      <c r="J19" s="100"/>
      <c r="K19" s="19"/>
      <c r="L19" s="25"/>
    </row>
    <row r="20" spans="1:12">
      <c r="A20" s="46" t="s">
        <v>45</v>
      </c>
      <c r="B20" s="47">
        <v>11410152.779742114</v>
      </c>
      <c r="C20" s="173">
        <v>0</v>
      </c>
      <c r="D20" s="173">
        <f t="shared" si="4"/>
        <v>11410152.779742114</v>
      </c>
      <c r="E20" s="48">
        <v>10150.417548736679</v>
      </c>
      <c r="F20" s="66">
        <v>9902.4022354089921</v>
      </c>
      <c r="G20" s="67">
        <f t="shared" si="5"/>
        <v>-248.01531332768718</v>
      </c>
      <c r="H20" s="51">
        <f t="shared" si="1"/>
        <v>-2.4434001077970943E-2</v>
      </c>
      <c r="J20" s="100"/>
      <c r="K20" s="19"/>
      <c r="L20" s="25"/>
    </row>
    <row r="21" spans="1:12">
      <c r="A21" s="46" t="s">
        <v>46</v>
      </c>
      <c r="B21" s="47">
        <v>3537885.26</v>
      </c>
      <c r="C21" s="173">
        <v>0</v>
      </c>
      <c r="D21" s="173">
        <f t="shared" si="4"/>
        <v>3537885.26</v>
      </c>
      <c r="E21" s="48">
        <v>3497.6713815703752</v>
      </c>
      <c r="F21" s="66">
        <v>3518.7125403361119</v>
      </c>
      <c r="G21" s="67">
        <f t="shared" si="5"/>
        <v>21.041158765736782</v>
      </c>
      <c r="H21" s="51">
        <f t="shared" si="1"/>
        <v>6.0157620514623015E-3</v>
      </c>
      <c r="J21" s="100"/>
      <c r="K21" s="19"/>
      <c r="L21" s="25"/>
    </row>
    <row r="22" spans="1:12">
      <c r="A22" s="46" t="s">
        <v>47</v>
      </c>
      <c r="B22" s="47">
        <v>4015303.04</v>
      </c>
      <c r="C22" s="173">
        <v>0</v>
      </c>
      <c r="D22" s="173">
        <f t="shared" si="4"/>
        <v>4015303.04</v>
      </c>
      <c r="E22" s="48">
        <v>2690.5725758304998</v>
      </c>
      <c r="F22" s="66">
        <v>2807.3040175742185</v>
      </c>
      <c r="G22" s="67">
        <f t="shared" si="5"/>
        <v>116.73144174371873</v>
      </c>
      <c r="H22" s="51">
        <f t="shared" si="1"/>
        <v>4.3385353285884588E-2</v>
      </c>
      <c r="J22" s="100"/>
      <c r="K22" s="19"/>
      <c r="L22" s="25"/>
    </row>
    <row r="23" spans="1:12">
      <c r="A23" s="46" t="s">
        <v>48</v>
      </c>
      <c r="B23" s="47">
        <v>6586715.8413540693</v>
      </c>
      <c r="C23" s="173">
        <v>67716.321354069296</v>
      </c>
      <c r="D23" s="173">
        <f t="shared" si="4"/>
        <v>6518999.5199999996</v>
      </c>
      <c r="E23" s="48">
        <v>6353.8496104239539</v>
      </c>
      <c r="F23" s="66">
        <v>6385.7227778626675</v>
      </c>
      <c r="G23" s="67">
        <f t="shared" si="5"/>
        <v>31.873167438713608</v>
      </c>
      <c r="H23" s="51">
        <f t="shared" si="1"/>
        <v>5.0163553425034407E-3</v>
      </c>
      <c r="J23" s="100"/>
      <c r="K23" s="19"/>
      <c r="L23" s="25"/>
    </row>
    <row r="24" spans="1:12">
      <c r="A24" s="46" t="s">
        <v>49</v>
      </c>
      <c r="B24" s="47">
        <v>3350897.5389535343</v>
      </c>
      <c r="C24" s="173">
        <v>0</v>
      </c>
      <c r="D24" s="173">
        <f>B24-C24</f>
        <v>3350897.5389535343</v>
      </c>
      <c r="E24" s="48">
        <v>2920.4888895605941</v>
      </c>
      <c r="F24" s="66">
        <v>2846.6861748638262</v>
      </c>
      <c r="G24" s="67">
        <f>F24-E24</f>
        <v>-73.802714696767907</v>
      </c>
      <c r="H24" s="51">
        <f>G24/E24</f>
        <v>-2.5270671277188798E-2</v>
      </c>
      <c r="J24" s="100"/>
      <c r="K24" s="19"/>
      <c r="L24" s="25"/>
    </row>
    <row r="25" spans="1:12">
      <c r="A25" s="46" t="s">
        <v>50</v>
      </c>
      <c r="B25" s="47">
        <v>5807839.7400000002</v>
      </c>
      <c r="C25" s="173">
        <v>0</v>
      </c>
      <c r="D25" s="173">
        <f t="shared" si="4"/>
        <v>5807839.7400000002</v>
      </c>
      <c r="E25" s="48">
        <v>3768.3721721075299</v>
      </c>
      <c r="F25" s="66">
        <v>3915.968991329542</v>
      </c>
      <c r="G25" s="67">
        <f t="shared" si="5"/>
        <v>147.59681922201207</v>
      </c>
      <c r="H25" s="51">
        <f t="shared" si="1"/>
        <v>3.9167261746194747E-2</v>
      </c>
      <c r="J25" s="100"/>
      <c r="K25" s="19"/>
      <c r="L25" s="25"/>
    </row>
    <row r="26" spans="1:12">
      <c r="A26" s="46" t="s">
        <v>51</v>
      </c>
      <c r="B26" s="47">
        <v>3808951.4586195759</v>
      </c>
      <c r="C26" s="173">
        <v>192480.25861957594</v>
      </c>
      <c r="D26" s="173">
        <f t="shared" si="4"/>
        <v>3616471.2</v>
      </c>
      <c r="E26" s="48">
        <v>3906.6719230720223</v>
      </c>
      <c r="F26" s="66">
        <v>4073.4295902362578</v>
      </c>
      <c r="G26" s="67">
        <f t="shared" si="5"/>
        <v>166.7576671642355</v>
      </c>
      <c r="H26" s="51">
        <f t="shared" si="1"/>
        <v>4.2685352250696584E-2</v>
      </c>
      <c r="J26" s="100"/>
      <c r="K26" s="19"/>
      <c r="L26" s="25"/>
    </row>
    <row r="27" spans="1:12">
      <c r="A27" s="46" t="s">
        <v>52</v>
      </c>
      <c r="B27" s="47">
        <v>8843482.4863145873</v>
      </c>
      <c r="C27" s="173">
        <v>266106.64631458733</v>
      </c>
      <c r="D27" s="173">
        <f t="shared" si="4"/>
        <v>8577375.8399999999</v>
      </c>
      <c r="E27" s="48">
        <v>2697.1288483155663</v>
      </c>
      <c r="F27" s="66">
        <v>2920.9265802886512</v>
      </c>
      <c r="G27" s="67">
        <f t="shared" si="5"/>
        <v>223.79773197308486</v>
      </c>
      <c r="H27" s="51">
        <f t="shared" si="1"/>
        <v>8.2976284990186111E-2</v>
      </c>
      <c r="J27" s="100"/>
      <c r="K27" s="19"/>
      <c r="L27" s="25"/>
    </row>
    <row r="28" spans="1:12">
      <c r="A28" s="46" t="s">
        <v>53</v>
      </c>
      <c r="B28" s="47">
        <v>7583685.9276525564</v>
      </c>
      <c r="C28" s="173">
        <v>0</v>
      </c>
      <c r="D28" s="173">
        <f t="shared" si="4"/>
        <v>7583685.9276525564</v>
      </c>
      <c r="E28" s="48">
        <v>4073.9568014954721</v>
      </c>
      <c r="F28" s="66">
        <v>4050.0273161904079</v>
      </c>
      <c r="G28" s="67">
        <f t="shared" si="5"/>
        <v>-23.92948530506419</v>
      </c>
      <c r="H28" s="51">
        <f t="shared" si="1"/>
        <v>-5.8737700154994606E-3</v>
      </c>
      <c r="J28" s="100"/>
      <c r="K28" s="19"/>
      <c r="L28" s="25"/>
    </row>
    <row r="29" spans="1:12">
      <c r="A29" s="46" t="s">
        <v>54</v>
      </c>
      <c r="B29" s="47">
        <v>9445631.844568355</v>
      </c>
      <c r="C29" s="173">
        <v>270075.98456835502</v>
      </c>
      <c r="D29" s="173">
        <f t="shared" si="4"/>
        <v>9175555.8599999994</v>
      </c>
      <c r="E29" s="48">
        <v>5482.9876158933357</v>
      </c>
      <c r="F29" s="66">
        <v>5532.4444995064541</v>
      </c>
      <c r="G29" s="67">
        <f t="shared" si="5"/>
        <v>49.456883613118407</v>
      </c>
      <c r="H29" s="51">
        <f t="shared" si="1"/>
        <v>9.0200611560309826E-3</v>
      </c>
      <c r="J29" s="100"/>
      <c r="K29" s="19"/>
      <c r="L29" s="25"/>
    </row>
    <row r="30" spans="1:12">
      <c r="A30" s="46" t="s">
        <v>55</v>
      </c>
      <c r="B30" s="47">
        <v>12058968.882229812</v>
      </c>
      <c r="C30" s="173">
        <v>620749.06222981238</v>
      </c>
      <c r="D30" s="173">
        <f t="shared" si="4"/>
        <v>11438219.82</v>
      </c>
      <c r="E30" s="48">
        <v>15305.332932967864</v>
      </c>
      <c r="F30" s="66">
        <v>15513.603131351751</v>
      </c>
      <c r="G30" s="67">
        <f t="shared" si="5"/>
        <v>208.27019838388696</v>
      </c>
      <c r="H30" s="51">
        <f t="shared" si="1"/>
        <v>1.3607688202278211E-2</v>
      </c>
      <c r="J30" s="100"/>
      <c r="K30" s="19"/>
      <c r="L30" s="25"/>
    </row>
    <row r="31" spans="1:12">
      <c r="A31" s="46" t="s">
        <v>56</v>
      </c>
      <c r="B31" s="47">
        <v>3336266.4842255521</v>
      </c>
      <c r="C31" s="173">
        <v>164314.34422555205</v>
      </c>
      <c r="D31" s="173">
        <f t="shared" si="4"/>
        <v>3171952.14</v>
      </c>
      <c r="E31" s="48">
        <v>3194.5937390911445</v>
      </c>
      <c r="F31" s="66">
        <v>3434.3491014398378</v>
      </c>
      <c r="G31" s="67">
        <f t="shared" si="5"/>
        <v>239.75536234869332</v>
      </c>
      <c r="H31" s="51">
        <f t="shared" si="1"/>
        <v>7.5050345029757451E-2</v>
      </c>
      <c r="J31" s="100"/>
      <c r="K31" s="19"/>
      <c r="L31" s="25"/>
    </row>
    <row r="32" spans="1:12">
      <c r="A32" s="46" t="s">
        <v>57</v>
      </c>
      <c r="B32" s="47">
        <v>9255215.726597026</v>
      </c>
      <c r="C32" s="173">
        <v>0</v>
      </c>
      <c r="D32" s="173">
        <f t="shared" si="4"/>
        <v>9255215.726597026</v>
      </c>
      <c r="E32" s="48">
        <v>2758.9758516715474</v>
      </c>
      <c r="F32" s="66">
        <v>2714.4737617659462</v>
      </c>
      <c r="G32" s="67">
        <f t="shared" si="5"/>
        <v>-44.502089905601224</v>
      </c>
      <c r="H32" s="51">
        <f t="shared" si="1"/>
        <v>-1.6129930922968855E-2</v>
      </c>
      <c r="J32" s="100"/>
      <c r="K32" s="19"/>
      <c r="L32" s="25"/>
    </row>
    <row r="33" spans="1:12">
      <c r="A33" s="46" t="s">
        <v>58</v>
      </c>
      <c r="B33" s="47">
        <v>6207823.1642925497</v>
      </c>
      <c r="C33" s="173">
        <v>18412.164292549714</v>
      </c>
      <c r="D33" s="173">
        <f t="shared" si="4"/>
        <v>6189411</v>
      </c>
      <c r="E33" s="48">
        <v>3914.9359789555833</v>
      </c>
      <c r="F33" s="66">
        <v>3934.0360190486572</v>
      </c>
      <c r="G33" s="67">
        <f t="shared" si="5"/>
        <v>19.100040093073858</v>
      </c>
      <c r="H33" s="51">
        <f t="shared" si="1"/>
        <v>4.8787617973179006E-3</v>
      </c>
      <c r="J33" s="100"/>
      <c r="K33" s="19"/>
      <c r="L33" s="25"/>
    </row>
    <row r="34" spans="1:12">
      <c r="A34" s="46" t="s">
        <v>59</v>
      </c>
      <c r="B34" s="47">
        <v>5568683.4000000004</v>
      </c>
      <c r="C34" s="173">
        <v>0</v>
      </c>
      <c r="D34" s="173">
        <f t="shared" si="4"/>
        <v>5568683.4000000004</v>
      </c>
      <c r="E34" s="48">
        <v>3660.4431664364806</v>
      </c>
      <c r="F34" s="66">
        <v>3505.8774075725778</v>
      </c>
      <c r="G34" s="67">
        <f t="shared" si="5"/>
        <v>-154.56575886390283</v>
      </c>
      <c r="H34" s="51">
        <f t="shared" si="1"/>
        <v>-4.2225968779178148E-2</v>
      </c>
      <c r="J34" s="100"/>
      <c r="K34" s="19"/>
      <c r="L34" s="25"/>
    </row>
    <row r="35" spans="1:12">
      <c r="A35" s="46" t="s">
        <v>60</v>
      </c>
      <c r="B35" s="47">
        <v>5354958.22</v>
      </c>
      <c r="C35" s="173">
        <v>0</v>
      </c>
      <c r="D35" s="173">
        <f t="shared" si="4"/>
        <v>5354958.22</v>
      </c>
      <c r="E35" s="48">
        <v>3099.8576290905921</v>
      </c>
      <c r="F35" s="66">
        <v>3097.7177226082181</v>
      </c>
      <c r="G35" s="67">
        <f t="shared" si="5"/>
        <v>-2.1399064823740446</v>
      </c>
      <c r="H35" s="51">
        <f t="shared" si="1"/>
        <v>-6.9032411756337036E-4</v>
      </c>
      <c r="J35" s="100"/>
      <c r="K35" s="19"/>
      <c r="L35" s="25"/>
    </row>
    <row r="36" spans="1:12">
      <c r="A36" s="46" t="s">
        <v>61</v>
      </c>
      <c r="B36" s="47">
        <v>4586955.6875382736</v>
      </c>
      <c r="C36" s="173">
        <v>310837.22753827454</v>
      </c>
      <c r="D36" s="173">
        <f t="shared" si="4"/>
        <v>4276118.459999999</v>
      </c>
      <c r="E36" s="48">
        <v>3522.5119227169866</v>
      </c>
      <c r="F36" s="66">
        <v>3823.4738436358848</v>
      </c>
      <c r="G36" s="67">
        <f t="shared" si="5"/>
        <v>300.96192091889816</v>
      </c>
      <c r="H36" s="51">
        <f t="shared" si="1"/>
        <v>8.5439574803982482E-2</v>
      </c>
      <c r="J36" s="100"/>
      <c r="K36" s="19"/>
      <c r="L36" s="25"/>
    </row>
    <row r="37" spans="1:12">
      <c r="A37" s="46" t="s">
        <v>62</v>
      </c>
      <c r="B37" s="47">
        <v>4841810.2650560681</v>
      </c>
      <c r="C37" s="173">
        <v>0</v>
      </c>
      <c r="D37" s="173">
        <f t="shared" si="4"/>
        <v>4841810.2650560681</v>
      </c>
      <c r="E37" s="48">
        <v>3882.6660808647548</v>
      </c>
      <c r="F37" s="66">
        <v>3767.9507460597538</v>
      </c>
      <c r="G37" s="67">
        <f t="shared" si="5"/>
        <v>-114.71533480500102</v>
      </c>
      <c r="H37" s="51">
        <f t="shared" si="1"/>
        <v>-2.9545506210374755E-2</v>
      </c>
      <c r="J37" s="100"/>
      <c r="K37" s="19"/>
      <c r="L37" s="25"/>
    </row>
    <row r="38" spans="1:12">
      <c r="A38" s="46" t="s">
        <v>63</v>
      </c>
      <c r="B38" s="47">
        <v>5403906.0326911528</v>
      </c>
      <c r="C38" s="173">
        <v>113031.39269115277</v>
      </c>
      <c r="D38" s="173">
        <f t="shared" si="4"/>
        <v>5290874.6399999997</v>
      </c>
      <c r="E38" s="48">
        <v>6316.4593924329783</v>
      </c>
      <c r="F38" s="66">
        <v>6202.1362408980804</v>
      </c>
      <c r="G38" s="67">
        <f t="shared" si="5"/>
        <v>-114.32315153489799</v>
      </c>
      <c r="H38" s="51">
        <f t="shared" si="1"/>
        <v>-1.8099245864202876E-2</v>
      </c>
      <c r="J38" s="100"/>
      <c r="K38" s="19"/>
      <c r="L38" s="25"/>
    </row>
    <row r="39" spans="1:12">
      <c r="A39" s="46" t="s">
        <v>64</v>
      </c>
      <c r="B39" s="47">
        <v>3504076.4505908927</v>
      </c>
      <c r="C39" s="173">
        <v>139146.63059089269</v>
      </c>
      <c r="D39" s="173">
        <f t="shared" si="4"/>
        <v>3364929.82</v>
      </c>
      <c r="E39" s="48">
        <v>2036.5698858902317</v>
      </c>
      <c r="F39" s="66">
        <v>2145.0318909173407</v>
      </c>
      <c r="G39" s="67">
        <f t="shared" si="5"/>
        <v>108.46200502710894</v>
      </c>
      <c r="H39" s="51">
        <f t="shared" si="1"/>
        <v>5.3257197692333398E-2</v>
      </c>
      <c r="J39" s="100"/>
      <c r="K39" s="19"/>
      <c r="L39" s="25"/>
    </row>
    <row r="40" spans="1:12" ht="15.75" thickBot="1">
      <c r="A40" s="52" t="s">
        <v>65</v>
      </c>
      <c r="B40" s="53">
        <v>14380565.08</v>
      </c>
      <c r="C40" s="175">
        <v>0</v>
      </c>
      <c r="D40" s="175">
        <f t="shared" si="4"/>
        <v>14380565.08</v>
      </c>
      <c r="E40" s="54">
        <v>12934.251920557099</v>
      </c>
      <c r="F40" s="68">
        <v>13279.077371254838</v>
      </c>
      <c r="G40" s="69">
        <f t="shared" si="5"/>
        <v>344.82545069773914</v>
      </c>
      <c r="H40" s="57">
        <f t="shared" si="1"/>
        <v>2.6659868140475107E-2</v>
      </c>
      <c r="J40" s="100"/>
      <c r="K40" s="19"/>
      <c r="L40" s="25"/>
    </row>
    <row r="41" spans="1:12" ht="16.5" thickBot="1">
      <c r="A41" s="58" t="s">
        <v>66</v>
      </c>
      <c r="B41" s="70">
        <f t="shared" ref="B41:G41" si="6">SUM(B19:B40)</f>
        <v>147775520.22</v>
      </c>
      <c r="C41" s="176">
        <f t="shared" si="6"/>
        <v>2162870.0324248215</v>
      </c>
      <c r="D41" s="176">
        <f t="shared" si="6"/>
        <v>145612650.18757519</v>
      </c>
      <c r="E41" s="71">
        <f t="shared" si="6"/>
        <v>109327.72844736688</v>
      </c>
      <c r="F41" s="72">
        <f t="shared" si="6"/>
        <v>110589.28539971217</v>
      </c>
      <c r="G41" s="73">
        <f t="shared" si="6"/>
        <v>1261.5569523453153</v>
      </c>
      <c r="H41" s="62">
        <f t="shared" si="1"/>
        <v>1.1539222210700742E-2</v>
      </c>
      <c r="J41" s="100"/>
      <c r="L41" s="25"/>
    </row>
    <row r="42" spans="1:12" ht="21.75" thickBot="1">
      <c r="A42" s="74" t="s">
        <v>67</v>
      </c>
      <c r="B42" s="75">
        <f>B41+B18</f>
        <v>588008620.02507806</v>
      </c>
      <c r="C42" s="177">
        <f>C18+C41</f>
        <v>5725376.2530459855</v>
      </c>
      <c r="D42" s="177">
        <f>D18+D41</f>
        <v>582283243.77203202</v>
      </c>
      <c r="E42" s="76">
        <f>E41+E18</f>
        <v>322595.68514740001</v>
      </c>
      <c r="F42" s="77">
        <f>F41+F18</f>
        <v>326108.08851756441</v>
      </c>
      <c r="G42" s="78">
        <f>G41+G18</f>
        <v>3512.403370164423</v>
      </c>
      <c r="H42" s="79">
        <f t="shared" si="1"/>
        <v>1.088794280853304E-2</v>
      </c>
    </row>
    <row r="45" spans="1:12">
      <c r="C45" s="178"/>
      <c r="D45" s="178"/>
    </row>
    <row r="46" spans="1:12">
      <c r="C46" s="178"/>
      <c r="D46" s="178"/>
    </row>
  </sheetData>
  <mergeCells count="5">
    <mergeCell ref="A1:F1"/>
    <mergeCell ref="A2:B2"/>
    <mergeCell ref="C2:E2"/>
    <mergeCell ref="A4:B4"/>
    <mergeCell ref="A5:B5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8"/>
  <sheetViews>
    <sheetView showGridLines="0" zoomScaleNormal="100" zoomScaleSheetLayoutView="110" workbookViewId="0">
      <selection activeCell="G15" sqref="G15"/>
    </sheetView>
  </sheetViews>
  <sheetFormatPr defaultRowHeight="15"/>
  <cols>
    <col min="1" max="1" width="8.42578125" customWidth="1"/>
    <col min="2" max="2" width="17.5703125" customWidth="1"/>
    <col min="3" max="3" width="14.7109375" customWidth="1"/>
    <col min="4" max="5" width="16.7109375" customWidth="1"/>
    <col min="6" max="6" width="20" customWidth="1"/>
    <col min="7" max="7" width="15.42578125" bestFit="1" customWidth="1"/>
    <col min="8" max="8" width="15.28515625" customWidth="1"/>
    <col min="9" max="9" width="14.85546875" customWidth="1"/>
    <col min="10" max="10" width="17.7109375" customWidth="1"/>
    <col min="11" max="11" width="12.28515625" bestFit="1" customWidth="1"/>
    <col min="12" max="12" width="15.7109375" customWidth="1"/>
    <col min="13" max="13" width="16.85546875" bestFit="1" customWidth="1"/>
    <col min="14" max="14" width="15" customWidth="1"/>
    <col min="15" max="15" width="15.140625" bestFit="1" customWidth="1"/>
    <col min="16" max="16" width="20.42578125" customWidth="1"/>
    <col min="17" max="17" width="14.42578125" customWidth="1"/>
    <col min="18" max="18" width="16.140625" customWidth="1"/>
    <col min="19" max="19" width="20.42578125" customWidth="1"/>
    <col min="20" max="21" width="9.28515625" bestFit="1" customWidth="1"/>
  </cols>
  <sheetData>
    <row r="1" spans="1:19" ht="20.25">
      <c r="A1" s="246" t="s">
        <v>68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ht="15.75" thickBot="1">
      <c r="F2" t="s">
        <v>69</v>
      </c>
    </row>
    <row r="3" spans="1:19" ht="16.5" customHeight="1" thickBot="1">
      <c r="A3" s="242" t="s">
        <v>70</v>
      </c>
      <c r="B3" s="239" t="s">
        <v>71</v>
      </c>
      <c r="C3" s="240"/>
      <c r="D3" s="240"/>
      <c r="E3" s="240"/>
      <c r="F3" s="241"/>
      <c r="G3" s="237" t="s">
        <v>72</v>
      </c>
      <c r="H3" s="238"/>
      <c r="I3" s="238"/>
      <c r="J3" s="238"/>
      <c r="K3" s="238"/>
      <c r="L3" s="238"/>
      <c r="M3" s="238"/>
      <c r="N3" s="238"/>
      <c r="O3" s="238"/>
      <c r="P3" s="243" t="s">
        <v>73</v>
      </c>
      <c r="Q3" s="244"/>
      <c r="R3" s="244"/>
      <c r="S3" s="245"/>
    </row>
    <row r="4" spans="1:19" ht="75.75" thickBot="1">
      <c r="A4" s="248"/>
      <c r="B4" s="249" t="s">
        <v>6</v>
      </c>
      <c r="C4" s="249" t="s">
        <v>74</v>
      </c>
      <c r="D4" s="249" t="s">
        <v>8</v>
      </c>
      <c r="E4" s="249" t="s">
        <v>75</v>
      </c>
      <c r="F4" s="250" t="s">
        <v>76</v>
      </c>
      <c r="G4" s="95" t="s">
        <v>32</v>
      </c>
      <c r="H4" s="251" t="s">
        <v>77</v>
      </c>
      <c r="I4" s="251" t="s">
        <v>78</v>
      </c>
      <c r="J4" s="105" t="s">
        <v>79</v>
      </c>
      <c r="K4" s="106" t="s">
        <v>80</v>
      </c>
      <c r="L4" s="107" t="s">
        <v>81</v>
      </c>
      <c r="M4" s="107" t="s">
        <v>82</v>
      </c>
      <c r="N4" s="107" t="s">
        <v>83</v>
      </c>
      <c r="O4" s="108" t="s">
        <v>84</v>
      </c>
      <c r="P4" s="104" t="s">
        <v>85</v>
      </c>
      <c r="Q4" s="104" t="s">
        <v>5</v>
      </c>
      <c r="R4" s="104" t="s">
        <v>86</v>
      </c>
      <c r="S4" s="104" t="s">
        <v>17</v>
      </c>
    </row>
    <row r="5" spans="1:19" ht="15.75">
      <c r="A5" s="84" t="s">
        <v>33</v>
      </c>
      <c r="B5" s="96">
        <v>8214417</v>
      </c>
      <c r="C5" s="96">
        <v>0</v>
      </c>
      <c r="D5" s="87">
        <f>'Productivity Index'!B8</f>
        <v>59357665.19780957</v>
      </c>
      <c r="E5" s="96">
        <f>'Productivity Index'!C8</f>
        <v>122087.27780956961</v>
      </c>
      <c r="F5" s="87">
        <f t="shared" ref="F5:F14" si="0">SUM(B5:D5)-E5</f>
        <v>67449994.920000002</v>
      </c>
      <c r="G5" s="94">
        <f>'Productivity Index'!H8</f>
        <v>1.0295318429060209E-2</v>
      </c>
      <c r="H5" s="90">
        <f>IF('Productivity Index'!G8&gt;0,'Productivity Index'!G8,0)</f>
        <v>319.41683273123635</v>
      </c>
      <c r="I5" s="91">
        <f>H5/H$15</f>
        <v>7.5435035872059686E-2</v>
      </c>
      <c r="J5" s="182">
        <f>I5*'Productivity Index'!$D$5</f>
        <v>358651.68757076096</v>
      </c>
      <c r="K5" s="91">
        <f t="shared" ref="K5:K15" si="1">J5/(D5-E5)</f>
        <v>6.0546668094491165E-3</v>
      </c>
      <c r="L5" s="195">
        <f t="shared" ref="L5:L14" si="2">IF(H5&gt;0,0,-(IF(G5&gt;-(0.02),G5*(D5-E5),(D5-E5)*-(0.02))))</f>
        <v>0</v>
      </c>
      <c r="M5" s="191">
        <f t="shared" ref="M5:M14" si="3">IF(L5&gt;0,-L5,$L$15*I5)</f>
        <v>185932.97695878919</v>
      </c>
      <c r="N5" s="191">
        <f>IF((J5+M5)&lt;0,J5,IF((J5+M5)&lt;((D5-E5)*0.02),(J5+M5),(D5-E5)*0.02))</f>
        <v>544584.66452955012</v>
      </c>
      <c r="O5" s="187">
        <f t="shared" ref="O5:O14" si="4">IF((J5+M5)-N5&gt;0,(J5+M5)-N5,0)</f>
        <v>0</v>
      </c>
      <c r="P5" s="101">
        <f t="shared" ref="P5:P14" si="5">F5+J5+M5</f>
        <v>67994579.584529564</v>
      </c>
      <c r="Q5" s="101">
        <f>P5-F5</f>
        <v>544584.664529562</v>
      </c>
      <c r="R5" s="101">
        <f t="shared" ref="R5:R14" si="6">P5*0.02</f>
        <v>1359891.5916905913</v>
      </c>
      <c r="S5" s="101">
        <f t="shared" ref="S5:S14" si="7">P5+R5</f>
        <v>69354471.176220149</v>
      </c>
    </row>
    <row r="6" spans="1:19" ht="15.75">
      <c r="A6" s="85" t="s">
        <v>87</v>
      </c>
      <c r="B6" s="97">
        <v>2819482</v>
      </c>
      <c r="C6" s="97">
        <v>794492</v>
      </c>
      <c r="D6" s="88">
        <f>'Productivity Index'!B9</f>
        <v>38234177</v>
      </c>
      <c r="E6" s="97">
        <f>'Productivity Index'!C9</f>
        <v>379065.29003635736</v>
      </c>
      <c r="F6" s="88">
        <f t="shared" si="0"/>
        <v>41469085.709963642</v>
      </c>
      <c r="G6" s="94">
        <f>'Productivity Index'!H9</f>
        <v>-2.7621050093856851E-2</v>
      </c>
      <c r="H6" s="90">
        <f>IF('Productivity Index'!G9&gt;0,'Productivity Index'!G9,0)</f>
        <v>0</v>
      </c>
      <c r="I6" s="91">
        <f t="shared" ref="I6:I14" si="8">H6/H$15</f>
        <v>0</v>
      </c>
      <c r="J6" s="183">
        <f>I6*'Productivity Index'!$D$5</f>
        <v>0</v>
      </c>
      <c r="K6" s="91">
        <f t="shared" si="1"/>
        <v>0</v>
      </c>
      <c r="L6" s="195">
        <f t="shared" si="2"/>
        <v>757102.23419927282</v>
      </c>
      <c r="M6" s="192">
        <f t="shared" si="3"/>
        <v>-757102.23419927282</v>
      </c>
      <c r="N6" s="192">
        <f t="shared" ref="N6:N14" si="9">IF((J6+M6)&lt;0,J6,IF((J6+M6)&lt;((D6-E6)*0.02),(J6+M6),(D6-E6)*0.02))</f>
        <v>0</v>
      </c>
      <c r="O6" s="188">
        <f t="shared" si="4"/>
        <v>0</v>
      </c>
      <c r="P6" s="101">
        <f t="shared" si="5"/>
        <v>40711983.475764371</v>
      </c>
      <c r="Q6" s="101">
        <f t="shared" ref="Q6:Q14" si="10">P6-F6</f>
        <v>-757102.23419927061</v>
      </c>
      <c r="R6" s="101">
        <f t="shared" si="6"/>
        <v>814239.6695152875</v>
      </c>
      <c r="S6" s="101">
        <f t="shared" si="7"/>
        <v>41526223.145279661</v>
      </c>
    </row>
    <row r="7" spans="1:19" ht="15.75">
      <c r="A7" s="85" t="s">
        <v>35</v>
      </c>
      <c r="B7" s="97">
        <v>2916621</v>
      </c>
      <c r="C7" s="97">
        <v>0</v>
      </c>
      <c r="D7" s="88">
        <f>'Productivity Index'!B10</f>
        <v>19252049.282283593</v>
      </c>
      <c r="E7" s="97">
        <f>'Productivity Index'!C10</f>
        <v>0</v>
      </c>
      <c r="F7" s="88">
        <f t="shared" si="0"/>
        <v>22168670.282283593</v>
      </c>
      <c r="G7" s="94">
        <f>'Productivity Index'!H10</f>
        <v>-6.1423423790260678E-3</v>
      </c>
      <c r="H7" s="90">
        <f>IF('Productivity Index'!G10&gt;0,'Productivity Index'!G10,0)</f>
        <v>0</v>
      </c>
      <c r="I7" s="91">
        <f t="shared" si="8"/>
        <v>0</v>
      </c>
      <c r="J7" s="183">
        <f>I7*'Productivity Index'!$D$5</f>
        <v>0</v>
      </c>
      <c r="K7" s="91">
        <f t="shared" si="1"/>
        <v>0</v>
      </c>
      <c r="L7" s="195">
        <f t="shared" si="2"/>
        <v>118252.67818966891</v>
      </c>
      <c r="M7" s="192">
        <f t="shared" si="3"/>
        <v>-118252.67818966891</v>
      </c>
      <c r="N7" s="192">
        <f t="shared" si="9"/>
        <v>0</v>
      </c>
      <c r="O7" s="188">
        <f t="shared" si="4"/>
        <v>0</v>
      </c>
      <c r="P7" s="101">
        <f t="shared" si="5"/>
        <v>22050417.604093924</v>
      </c>
      <c r="Q7" s="101">
        <f t="shared" si="10"/>
        <v>-118252.6781896688</v>
      </c>
      <c r="R7" s="101">
        <f t="shared" si="6"/>
        <v>441008.35208187852</v>
      </c>
      <c r="S7" s="101">
        <f t="shared" si="7"/>
        <v>22491425.956175804</v>
      </c>
    </row>
    <row r="8" spans="1:19" ht="15.75">
      <c r="A8" s="85" t="s">
        <v>36</v>
      </c>
      <c r="B8" s="97">
        <v>1724370</v>
      </c>
      <c r="C8" s="97">
        <v>0</v>
      </c>
      <c r="D8" s="88">
        <f>'Productivity Index'!B11</f>
        <v>17278600</v>
      </c>
      <c r="E8" s="97">
        <f>'Productivity Index'!C11</f>
        <v>0</v>
      </c>
      <c r="F8" s="88">
        <f t="shared" si="0"/>
        <v>19002970</v>
      </c>
      <c r="G8" s="94">
        <f>'Productivity Index'!H11</f>
        <v>-3.9187943905290186E-2</v>
      </c>
      <c r="H8" s="90">
        <f>IF('Productivity Index'!G11&gt;0,'Productivity Index'!G11,0)</f>
        <v>0</v>
      </c>
      <c r="I8" s="91">
        <f t="shared" si="8"/>
        <v>0</v>
      </c>
      <c r="J8" s="183">
        <f>I8*'Productivity Index'!$D$5</f>
        <v>0</v>
      </c>
      <c r="K8" s="91">
        <f t="shared" si="1"/>
        <v>0</v>
      </c>
      <c r="L8" s="195">
        <f t="shared" si="2"/>
        <v>345572</v>
      </c>
      <c r="M8" s="192">
        <f t="shared" si="3"/>
        <v>-345572</v>
      </c>
      <c r="N8" s="192">
        <f t="shared" si="9"/>
        <v>0</v>
      </c>
      <c r="O8" s="188">
        <f t="shared" si="4"/>
        <v>0</v>
      </c>
      <c r="P8" s="101">
        <f t="shared" si="5"/>
        <v>18657398</v>
      </c>
      <c r="Q8" s="101">
        <f t="shared" si="10"/>
        <v>-345572</v>
      </c>
      <c r="R8" s="101">
        <f t="shared" si="6"/>
        <v>373147.96</v>
      </c>
      <c r="S8" s="101">
        <f t="shared" si="7"/>
        <v>19030545.960000001</v>
      </c>
    </row>
    <row r="9" spans="1:19" ht="15.75">
      <c r="A9" s="85" t="s">
        <v>37</v>
      </c>
      <c r="B9" s="97">
        <v>12610820</v>
      </c>
      <c r="C9" s="97">
        <v>0</v>
      </c>
      <c r="D9" s="88">
        <f>'Productivity Index'!B12</f>
        <v>130852703.39277524</v>
      </c>
      <c r="E9" s="97">
        <f>'Productivity Index'!C12</f>
        <v>3061353.6527752373</v>
      </c>
      <c r="F9" s="88">
        <f t="shared" si="0"/>
        <v>140402169.74000001</v>
      </c>
      <c r="G9" s="94">
        <f>'Productivity Index'!H12</f>
        <v>5.713469266004563E-2</v>
      </c>
      <c r="H9" s="90">
        <f>IF('Productivity Index'!G12&gt;0,'Productivity Index'!G12,0)</f>
        <v>3756.8562407801364</v>
      </c>
      <c r="I9" s="91">
        <f t="shared" si="8"/>
        <v>0.88723747858297142</v>
      </c>
      <c r="J9" s="183">
        <f>I9*'Productivity Index'!$D$5</f>
        <v>4218321.3050962547</v>
      </c>
      <c r="K9" s="91">
        <f t="shared" si="1"/>
        <v>3.3009443234449827E-2</v>
      </c>
      <c r="L9" s="195">
        <f t="shared" si="2"/>
        <v>0</v>
      </c>
      <c r="M9" s="192">
        <f t="shared" si="3"/>
        <v>2186871.1767053553</v>
      </c>
      <c r="N9" s="192">
        <f t="shared" si="9"/>
        <v>2555826.9948</v>
      </c>
      <c r="O9" s="188">
        <f t="shared" si="4"/>
        <v>3849365.4870016105</v>
      </c>
      <c r="P9" s="101">
        <f t="shared" si="5"/>
        <v>146807362.22180164</v>
      </c>
      <c r="Q9" s="101">
        <f t="shared" si="10"/>
        <v>6405192.4818016291</v>
      </c>
      <c r="R9" s="101">
        <f t="shared" si="6"/>
        <v>2936147.2444360326</v>
      </c>
      <c r="S9" s="101">
        <f t="shared" si="7"/>
        <v>149743509.46623766</v>
      </c>
    </row>
    <row r="10" spans="1:19" ht="15.75">
      <c r="A10" s="85" t="s">
        <v>38</v>
      </c>
      <c r="B10" s="97">
        <v>4273669</v>
      </c>
      <c r="C10" s="97">
        <v>0</v>
      </c>
      <c r="D10" s="88">
        <f>'Productivity Index'!B13</f>
        <v>21913603</v>
      </c>
      <c r="E10" s="97">
        <f>'Productivity Index'!C13</f>
        <v>0</v>
      </c>
      <c r="F10" s="88">
        <f t="shared" si="0"/>
        <v>26187272</v>
      </c>
      <c r="G10" s="94">
        <f>'Productivity Index'!H13</f>
        <v>-3.0600084931381805E-2</v>
      </c>
      <c r="H10" s="90">
        <f>IF('Productivity Index'!G13&gt;0,'Productivity Index'!G13,0)</f>
        <v>0</v>
      </c>
      <c r="I10" s="91">
        <f t="shared" si="8"/>
        <v>0</v>
      </c>
      <c r="J10" s="183">
        <f>I10*'Productivity Index'!$D$5</f>
        <v>0</v>
      </c>
      <c r="K10" s="91">
        <f t="shared" si="1"/>
        <v>0</v>
      </c>
      <c r="L10" s="195">
        <f t="shared" si="2"/>
        <v>438272.06</v>
      </c>
      <c r="M10" s="192">
        <f t="shared" si="3"/>
        <v>-438272.06</v>
      </c>
      <c r="N10" s="192">
        <f t="shared" si="9"/>
        <v>0</v>
      </c>
      <c r="O10" s="188">
        <f t="shared" si="4"/>
        <v>0</v>
      </c>
      <c r="P10" s="101">
        <f t="shared" si="5"/>
        <v>25748999.940000001</v>
      </c>
      <c r="Q10" s="101">
        <f t="shared" si="10"/>
        <v>-438272.05999999866</v>
      </c>
      <c r="R10" s="101">
        <f t="shared" si="6"/>
        <v>514979.99880000006</v>
      </c>
      <c r="S10" s="101">
        <f t="shared" si="7"/>
        <v>26263979.9388</v>
      </c>
    </row>
    <row r="11" spans="1:19" ht="15.75">
      <c r="A11" s="85" t="s">
        <v>39</v>
      </c>
      <c r="B11" s="97">
        <v>7406778</v>
      </c>
      <c r="C11" s="97">
        <v>0</v>
      </c>
      <c r="D11" s="88">
        <f>'Productivity Index'!B14</f>
        <v>56239811.868658654</v>
      </c>
      <c r="E11" s="97">
        <f>'Productivity Index'!C14</f>
        <v>0</v>
      </c>
      <c r="F11" s="88">
        <f t="shared" si="0"/>
        <v>63646589.868658654</v>
      </c>
      <c r="G11" s="94">
        <f>'Productivity Index'!H14</f>
        <v>5.1622476391337971E-3</v>
      </c>
      <c r="H11" s="90">
        <f>IF('Productivity Index'!G14&gt;0,'Productivity Index'!G14,0)</f>
        <v>110.17020188764945</v>
      </c>
      <c r="I11" s="91">
        <f t="shared" si="8"/>
        <v>2.6018331784097539E-2</v>
      </c>
      <c r="J11" s="183">
        <f>I11*'Productivity Index'!$D$5</f>
        <v>123702.71312615419</v>
      </c>
      <c r="K11" s="91">
        <f t="shared" si="1"/>
        <v>2.1995577334975279E-3</v>
      </c>
      <c r="L11" s="195">
        <f t="shared" si="2"/>
        <v>0</v>
      </c>
      <c r="M11" s="192">
        <f t="shared" si="3"/>
        <v>64130.225805467657</v>
      </c>
      <c r="N11" s="192">
        <f t="shared" si="9"/>
        <v>187832.93893162184</v>
      </c>
      <c r="O11" s="188">
        <f t="shared" si="4"/>
        <v>0</v>
      </c>
      <c r="P11" s="101">
        <f t="shared" si="5"/>
        <v>63834422.807590276</v>
      </c>
      <c r="Q11" s="101">
        <f t="shared" si="10"/>
        <v>187832.93893162161</v>
      </c>
      <c r="R11" s="101">
        <f t="shared" si="6"/>
        <v>1276688.4561518056</v>
      </c>
      <c r="S11" s="101">
        <f t="shared" si="7"/>
        <v>65111111.263742082</v>
      </c>
    </row>
    <row r="12" spans="1:19" ht="15.75">
      <c r="A12" s="85" t="s">
        <v>88</v>
      </c>
      <c r="B12" s="97">
        <v>1488186</v>
      </c>
      <c r="C12" s="97">
        <v>1363118</v>
      </c>
      <c r="D12" s="88">
        <f>'Productivity Index'!B15</f>
        <v>17385204</v>
      </c>
      <c r="E12" s="97">
        <f>'Productivity Index'!C15</f>
        <v>0</v>
      </c>
      <c r="F12" s="88">
        <f t="shared" si="0"/>
        <v>20236508</v>
      </c>
      <c r="G12" s="94">
        <f>'Productivity Index'!H15</f>
        <v>-2.4915081497468013E-2</v>
      </c>
      <c r="H12" s="90">
        <f>IF('Productivity Index'!G15&gt;0,'Productivity Index'!G15,0)</f>
        <v>0</v>
      </c>
      <c r="I12" s="91">
        <f t="shared" si="8"/>
        <v>0</v>
      </c>
      <c r="J12" s="183">
        <f>I12*'Productivity Index'!$D$5</f>
        <v>0</v>
      </c>
      <c r="K12" s="91">
        <f t="shared" si="1"/>
        <v>0</v>
      </c>
      <c r="L12" s="195">
        <f t="shared" si="2"/>
        <v>347704.08</v>
      </c>
      <c r="M12" s="192">
        <f t="shared" si="3"/>
        <v>-347704.08</v>
      </c>
      <c r="N12" s="192">
        <f t="shared" si="9"/>
        <v>0</v>
      </c>
      <c r="O12" s="188">
        <f t="shared" si="4"/>
        <v>0</v>
      </c>
      <c r="P12" s="101">
        <f t="shared" si="5"/>
        <v>19888803.920000002</v>
      </c>
      <c r="Q12" s="101">
        <f t="shared" si="10"/>
        <v>-347704.07999999821</v>
      </c>
      <c r="R12" s="101">
        <f t="shared" si="6"/>
        <v>397776.07840000006</v>
      </c>
      <c r="S12" s="101">
        <f t="shared" si="7"/>
        <v>20286579.998400003</v>
      </c>
    </row>
    <row r="13" spans="1:19" ht="15.75">
      <c r="A13" s="85" t="s">
        <v>41</v>
      </c>
      <c r="B13" s="97">
        <v>2583459</v>
      </c>
      <c r="C13" s="97">
        <v>0</v>
      </c>
      <c r="D13" s="88">
        <f>'Productivity Index'!B16</f>
        <v>22895311.714750133</v>
      </c>
      <c r="E13" s="97">
        <f>'Productivity Index'!C16</f>
        <v>0</v>
      </c>
      <c r="F13" s="88">
        <f t="shared" si="0"/>
        <v>25478770.714750133</v>
      </c>
      <c r="G13" s="94">
        <f>'Productivity Index'!H16</f>
        <v>-4.1191819360755236E-2</v>
      </c>
      <c r="H13" s="90">
        <f>IF('Productivity Index'!G16&gt;0,'Productivity Index'!G16,0)</f>
        <v>0</v>
      </c>
      <c r="I13" s="91">
        <f t="shared" si="8"/>
        <v>0</v>
      </c>
      <c r="J13" s="183">
        <f>I13*'Productivity Index'!$D$5</f>
        <v>0</v>
      </c>
      <c r="K13" s="91">
        <f t="shared" si="1"/>
        <v>0</v>
      </c>
      <c r="L13" s="195">
        <f t="shared" si="2"/>
        <v>457906.23429500265</v>
      </c>
      <c r="M13" s="192">
        <f t="shared" si="3"/>
        <v>-457906.23429500265</v>
      </c>
      <c r="N13" s="192">
        <f t="shared" si="9"/>
        <v>0</v>
      </c>
      <c r="O13" s="188">
        <f t="shared" si="4"/>
        <v>0</v>
      </c>
      <c r="P13" s="101">
        <f t="shared" si="5"/>
        <v>25020864.48045513</v>
      </c>
      <c r="Q13" s="101">
        <f t="shared" si="10"/>
        <v>-457906.23429500312</v>
      </c>
      <c r="R13" s="101">
        <f t="shared" si="6"/>
        <v>500417.28960910259</v>
      </c>
      <c r="S13" s="101">
        <f t="shared" si="7"/>
        <v>25521281.770064235</v>
      </c>
    </row>
    <row r="14" spans="1:19" ht="16.5" thickBot="1">
      <c r="A14" s="86" t="s">
        <v>42</v>
      </c>
      <c r="B14" s="98">
        <v>6418958</v>
      </c>
      <c r="C14" s="98">
        <v>0</v>
      </c>
      <c r="D14" s="89">
        <f>'Productivity Index'!B17</f>
        <v>56823974.34880089</v>
      </c>
      <c r="E14" s="97">
        <f>'Productivity Index'!C17</f>
        <v>0</v>
      </c>
      <c r="F14" s="89">
        <f t="shared" si="0"/>
        <v>63242932.34880089</v>
      </c>
      <c r="G14" s="180">
        <f>'Productivity Index'!H17</f>
        <v>1.8449414975113176E-3</v>
      </c>
      <c r="H14" s="90">
        <f>IF('Productivity Index'!G17&gt;0,'Productivity Index'!G17,0)</f>
        <v>47.886688637554471</v>
      </c>
      <c r="I14" s="92">
        <f t="shared" si="8"/>
        <v>1.1309153760871344E-2</v>
      </c>
      <c r="J14" s="184">
        <f>I14*'Productivity Index'!$D$5</f>
        <v>53768.743322571165</v>
      </c>
      <c r="K14" s="92">
        <f t="shared" si="1"/>
        <v>9.4623341536310198E-4</v>
      </c>
      <c r="L14" s="195">
        <f t="shared" si="2"/>
        <v>0</v>
      </c>
      <c r="M14" s="193">
        <f t="shared" si="3"/>
        <v>27874.907214332346</v>
      </c>
      <c r="N14" s="193">
        <f t="shared" si="9"/>
        <v>81643.650536903515</v>
      </c>
      <c r="O14" s="189">
        <f t="shared" si="4"/>
        <v>0</v>
      </c>
      <c r="P14" s="101">
        <f t="shared" si="5"/>
        <v>63324575.999337792</v>
      </c>
      <c r="Q14" s="102">
        <f t="shared" si="10"/>
        <v>81643.650536902249</v>
      </c>
      <c r="R14" s="101">
        <f t="shared" si="6"/>
        <v>1266491.5199867559</v>
      </c>
      <c r="S14" s="101">
        <f t="shared" si="7"/>
        <v>64591067.519324549</v>
      </c>
    </row>
    <row r="15" spans="1:19" ht="16.5" thickBot="1">
      <c r="A15" s="82" t="s">
        <v>89</v>
      </c>
      <c r="B15" s="99">
        <f>SUM(B5:B14)</f>
        <v>50456760</v>
      </c>
      <c r="C15" s="99">
        <f>SUM(C5:C14)</f>
        <v>2157610</v>
      </c>
      <c r="D15" s="186">
        <f>'Productivity Index'!B18</f>
        <v>440233099.80507809</v>
      </c>
      <c r="E15" s="186">
        <f>'Productivity Index'!C18</f>
        <v>3562506.2206211644</v>
      </c>
      <c r="F15" s="186">
        <f>SUM(F5:F14)</f>
        <v>489284963.58445692</v>
      </c>
      <c r="G15" s="181">
        <f>'Productivity Index'!H18</f>
        <v>1.0554076911727443E-2</v>
      </c>
      <c r="H15" s="93">
        <f>SUM(H5:H14)</f>
        <v>4234.3299640365767</v>
      </c>
      <c r="I15" s="111">
        <f>H15/H$15</f>
        <v>1</v>
      </c>
      <c r="J15" s="185">
        <f>SUM(J5:J14)</f>
        <v>4754444.4491157411</v>
      </c>
      <c r="K15" s="111">
        <f t="shared" si="1"/>
        <v>1.0887942808533039E-2</v>
      </c>
      <c r="L15" s="196">
        <f t="shared" ref="L15:S15" si="11">SUM(L5:L14)</f>
        <v>2464809.2866839445</v>
      </c>
      <c r="M15" s="194">
        <f t="shared" si="11"/>
        <v>3.2741809263825417E-11</v>
      </c>
      <c r="N15" s="194">
        <f t="shared" si="11"/>
        <v>3369888.2487980756</v>
      </c>
      <c r="O15" s="190">
        <f t="shared" si="11"/>
        <v>3849365.4870016105</v>
      </c>
      <c r="P15" s="103">
        <f t="shared" si="11"/>
        <v>494039408.03357267</v>
      </c>
      <c r="Q15" s="103">
        <f t="shared" si="11"/>
        <v>4754444.4491157755</v>
      </c>
      <c r="R15" s="103">
        <f t="shared" si="11"/>
        <v>9880788.1606714558</v>
      </c>
      <c r="S15" s="103">
        <f t="shared" si="11"/>
        <v>503920196.19424415</v>
      </c>
    </row>
    <row r="16" spans="1:19">
      <c r="A16" s="81" t="s">
        <v>90</v>
      </c>
    </row>
    <row r="17" spans="1:6">
      <c r="A17" s="80" t="s">
        <v>91</v>
      </c>
    </row>
    <row r="18" spans="1:6">
      <c r="F18" s="110"/>
    </row>
  </sheetData>
  <mergeCells count="5">
    <mergeCell ref="G3:O3"/>
    <mergeCell ref="B3:F3"/>
    <mergeCell ref="A3:A4"/>
    <mergeCell ref="P3:S3"/>
    <mergeCell ref="A1:S1"/>
  </mergeCells>
  <printOptions horizontalCentered="1"/>
  <pageMargins left="0.25" right="0.25" top="0.75" bottom="0.75" header="0.3" footer="0.3"/>
  <pageSetup scale="44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3074" r:id="rId4">
          <objectPr defaultSize="0" autoPict="0" r:id="rId5">
            <anchor moveWithCells="1">
              <from>
                <xdr:col>15</xdr:col>
                <xdr:colOff>1047750</xdr:colOff>
                <xdr:row>0</xdr:row>
                <xdr:rowOff>0</xdr:rowOff>
              </from>
              <to>
                <xdr:col>16</xdr:col>
                <xdr:colOff>200025</xdr:colOff>
                <xdr:row>1</xdr:row>
                <xdr:rowOff>152400</xdr:rowOff>
              </to>
            </anchor>
          </objectPr>
        </oleObject>
      </mc:Choice>
      <mc:Fallback>
        <oleObject progId="MSPhotoEd.3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8"/>
  <sheetViews>
    <sheetView showGridLines="0" zoomScale="89" zoomScaleNormal="89" zoomScaleSheetLayoutView="100" workbookViewId="0">
      <selection activeCell="O38" sqref="O38"/>
    </sheetView>
  </sheetViews>
  <sheetFormatPr defaultRowHeight="15"/>
  <cols>
    <col min="1" max="1" width="10.140625" bestFit="1" customWidth="1"/>
    <col min="2" max="2" width="14.7109375" customWidth="1"/>
    <col min="3" max="3" width="15.42578125" customWidth="1"/>
    <col min="4" max="4" width="17" bestFit="1" customWidth="1"/>
    <col min="5" max="5" width="17" customWidth="1"/>
    <col min="6" max="6" width="18.28515625" bestFit="1" customWidth="1"/>
    <col min="7" max="7" width="17.7109375" customWidth="1"/>
    <col min="8" max="8" width="14.7109375" bestFit="1" customWidth="1"/>
    <col min="9" max="9" width="16.5703125" customWidth="1"/>
    <col min="10" max="10" width="17.28515625" customWidth="1"/>
    <col min="11" max="11" width="16.28515625" bestFit="1" customWidth="1"/>
    <col min="12" max="13" width="16.28515625" customWidth="1"/>
    <col min="14" max="14" width="17.28515625" customWidth="1"/>
    <col min="15" max="15" width="15.140625" bestFit="1" customWidth="1"/>
    <col min="16" max="16" width="21.85546875" customWidth="1"/>
    <col min="17" max="17" width="14.28515625" bestFit="1" customWidth="1"/>
    <col min="18" max="18" width="16" customWidth="1"/>
    <col min="19" max="19" width="20.5703125" customWidth="1"/>
  </cols>
  <sheetData>
    <row r="1" spans="1:19" ht="20.25">
      <c r="A1" s="246" t="s">
        <v>92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ht="15.75" thickBot="1"/>
    <row r="3" spans="1:19" ht="16.5" customHeight="1" thickBot="1">
      <c r="A3" s="242" t="s">
        <v>70</v>
      </c>
      <c r="B3" s="239" t="s">
        <v>71</v>
      </c>
      <c r="C3" s="240"/>
      <c r="D3" s="240"/>
      <c r="E3" s="240"/>
      <c r="F3" s="241"/>
      <c r="G3" s="237" t="s">
        <v>72</v>
      </c>
      <c r="H3" s="238"/>
      <c r="I3" s="238"/>
      <c r="J3" s="238"/>
      <c r="K3" s="238"/>
      <c r="L3" s="238"/>
      <c r="M3" s="238"/>
      <c r="N3" s="238"/>
      <c r="O3" s="247"/>
      <c r="P3" s="243" t="s">
        <v>73</v>
      </c>
      <c r="Q3" s="244"/>
      <c r="R3" s="244"/>
      <c r="S3" s="245"/>
    </row>
    <row r="4" spans="1:19" ht="75.75" thickBot="1">
      <c r="A4" s="248"/>
      <c r="B4" s="249" t="s">
        <v>6</v>
      </c>
      <c r="C4" s="249" t="s">
        <v>74</v>
      </c>
      <c r="D4" s="249" t="s">
        <v>8</v>
      </c>
      <c r="E4" s="249" t="s">
        <v>75</v>
      </c>
      <c r="F4" s="250" t="s">
        <v>76</v>
      </c>
      <c r="G4" s="95" t="s">
        <v>32</v>
      </c>
      <c r="H4" s="251" t="s">
        <v>77</v>
      </c>
      <c r="I4" s="251" t="s">
        <v>78</v>
      </c>
      <c r="J4" s="105" t="s">
        <v>79</v>
      </c>
      <c r="K4" s="106" t="s">
        <v>80</v>
      </c>
      <c r="L4" s="107" t="s">
        <v>81</v>
      </c>
      <c r="M4" s="107" t="s">
        <v>82</v>
      </c>
      <c r="N4" s="107" t="s">
        <v>83</v>
      </c>
      <c r="O4" s="108" t="s">
        <v>84</v>
      </c>
      <c r="P4" s="104" t="s">
        <v>85</v>
      </c>
      <c r="Q4" s="197" t="s">
        <v>5</v>
      </c>
      <c r="R4" s="104" t="s">
        <v>86</v>
      </c>
      <c r="S4" s="104" t="s">
        <v>17</v>
      </c>
    </row>
    <row r="5" spans="1:19" ht="15.75">
      <c r="A5" s="84" t="s">
        <v>44</v>
      </c>
      <c r="B5" s="97">
        <v>1005983</v>
      </c>
      <c r="C5" s="97">
        <v>730954</v>
      </c>
      <c r="D5" s="88">
        <f>'Productivity Index'!B19</f>
        <v>8885744.9095738772</v>
      </c>
      <c r="E5" s="97">
        <f>'Productivity Index'!C19</f>
        <v>0</v>
      </c>
      <c r="F5" s="88">
        <f t="shared" ref="F5:F26" si="0">SUM(B5:D5)-E5</f>
        <v>10622681.909573877</v>
      </c>
      <c r="G5" s="94">
        <f>'Productivity Index'!H19</f>
        <v>1.8651669909606979E-2</v>
      </c>
      <c r="H5" s="90">
        <f>IF('Productivity Index'!G19&gt;0,'Productivity Index'!G19,0)</f>
        <v>58.920859876591294</v>
      </c>
      <c r="I5" s="91">
        <f>H5/H$27</f>
        <v>2.8917493766638099E-2</v>
      </c>
      <c r="J5" s="183">
        <f>I5*'Productivity Index'!$E$5</f>
        <v>45846.436801171862</v>
      </c>
      <c r="K5" s="91">
        <f t="shared" ref="K5:K27" si="1">J5/(D5-E5)</f>
        <v>5.1595490606279925E-3</v>
      </c>
      <c r="L5" s="195">
        <f>IF(H5&gt;0,0,-(IF(G5&gt;-(0.02),G5*(D5-E5),(D5-E5)*-(0.02))))</f>
        <v>0</v>
      </c>
      <c r="M5" s="192">
        <f t="shared" ref="M5:M26" si="2">IF(L5&gt;0,-L5,$L$27*I5)</f>
        <v>13143.78732195916</v>
      </c>
      <c r="N5" s="192">
        <f>IF((J5+M5)&lt;0,J5,IF((J5+M5)&lt;((D5-E5)*0.02),(J5+M5),(D5-E5)*0.02))</f>
        <v>58990.224123131018</v>
      </c>
      <c r="O5" s="188">
        <f t="shared" ref="O5:O26" si="3">IF((J5+M5)-N5&gt;0,(J5+M5)-N5,0)</f>
        <v>0</v>
      </c>
      <c r="P5" s="101">
        <f t="shared" ref="P5:P26" si="4">F5+J5+M5</f>
        <v>10681672.133697007</v>
      </c>
      <c r="Q5" s="101">
        <f>P5-F5</f>
        <v>58990.224123129621</v>
      </c>
      <c r="R5" s="101">
        <f t="shared" ref="R5:R26" si="5">P5*0.02</f>
        <v>213633.44267394015</v>
      </c>
      <c r="S5" s="101">
        <f t="shared" ref="S5:S26" si="6">P5+R5</f>
        <v>10895305.576370947</v>
      </c>
    </row>
    <row r="6" spans="1:19" ht="15.75">
      <c r="A6" s="85" t="s">
        <v>45</v>
      </c>
      <c r="B6" s="97">
        <v>2006749</v>
      </c>
      <c r="C6" s="97">
        <v>801945</v>
      </c>
      <c r="D6" s="88">
        <f>'Productivity Index'!B20</f>
        <v>11410152.779742114</v>
      </c>
      <c r="E6" s="97">
        <f>'Productivity Index'!C20</f>
        <v>0</v>
      </c>
      <c r="F6" s="88">
        <f t="shared" si="0"/>
        <v>14218846.779742114</v>
      </c>
      <c r="G6" s="94">
        <f>'Productivity Index'!H20</f>
        <v>-2.4434001077970943E-2</v>
      </c>
      <c r="H6" s="90">
        <f>IF('Productivity Index'!G20&gt;0,'Productivity Index'!G20,0)</f>
        <v>0</v>
      </c>
      <c r="I6" s="91">
        <f t="shared" ref="I6:I27" si="7">H6/H$27</f>
        <v>0</v>
      </c>
      <c r="J6" s="183">
        <f>I6*'Productivity Index'!$E$5</f>
        <v>0</v>
      </c>
      <c r="K6" s="91">
        <f t="shared" si="1"/>
        <v>0</v>
      </c>
      <c r="L6" s="195">
        <f>IF(H6&gt;0,0,-(IF(G6&gt;-(0.02),G6*(D6-E6),(D6-E6)*-(0.02))))-174430</f>
        <v>53773.055594842299</v>
      </c>
      <c r="M6" s="192">
        <f t="shared" si="2"/>
        <v>-53773.055594842299</v>
      </c>
      <c r="N6" s="192">
        <f t="shared" ref="N6:N26" si="8">IF((J6+M6)&lt;0,J6,IF((J6+M6)&lt;((D6-E6)*0.02),(J6+M6),(D6-E6)*0.02))</f>
        <v>0</v>
      </c>
      <c r="O6" s="188">
        <f t="shared" si="3"/>
        <v>0</v>
      </c>
      <c r="P6" s="101">
        <f t="shared" si="4"/>
        <v>14165073.724147271</v>
      </c>
      <c r="Q6" s="101">
        <f t="shared" ref="Q6:Q26" si="9">P6-F6</f>
        <v>-53773.055594842881</v>
      </c>
      <c r="R6" s="101">
        <f t="shared" si="5"/>
        <v>283301.47448294546</v>
      </c>
      <c r="S6" s="101">
        <f t="shared" si="6"/>
        <v>14448375.198630217</v>
      </c>
    </row>
    <row r="7" spans="1:19" ht="15.75">
      <c r="A7" s="85" t="s">
        <v>46</v>
      </c>
      <c r="B7" s="97">
        <v>0</v>
      </c>
      <c r="C7" s="97">
        <v>823929</v>
      </c>
      <c r="D7" s="88">
        <f>'Productivity Index'!B21</f>
        <v>3537885.26</v>
      </c>
      <c r="E7" s="97">
        <f>'Productivity Index'!C21</f>
        <v>0</v>
      </c>
      <c r="F7" s="88">
        <f t="shared" si="0"/>
        <v>4361814.26</v>
      </c>
      <c r="G7" s="94">
        <f>'Productivity Index'!H21</f>
        <v>6.0157620514623015E-3</v>
      </c>
      <c r="H7" s="90">
        <f>IF('Productivity Index'!G21&gt;0,'Productivity Index'!G21,0)</f>
        <v>21.041158765736782</v>
      </c>
      <c r="I7" s="91">
        <f t="shared" si="7"/>
        <v>1.0326692087071364E-2</v>
      </c>
      <c r="J7" s="183">
        <f>I7*'Productivity Index'!$E$5</f>
        <v>16372.166964250737</v>
      </c>
      <c r="K7" s="91">
        <f t="shared" si="1"/>
        <v>4.6276704192070766E-3</v>
      </c>
      <c r="L7" s="195">
        <f t="shared" ref="L7:L26" si="10">IF(H7&gt;0,0,-(IF(G7&gt;-(0.02),G7*(D7-E7),(D7-E7)*-(0.02))))</f>
        <v>0</v>
      </c>
      <c r="M7" s="192">
        <f t="shared" si="2"/>
        <v>4693.7623857437266</v>
      </c>
      <c r="N7" s="192">
        <f t="shared" si="8"/>
        <v>21065.929349994462</v>
      </c>
      <c r="O7" s="188">
        <f t="shared" si="3"/>
        <v>0</v>
      </c>
      <c r="P7" s="101">
        <f t="shared" si="4"/>
        <v>4382880.1893499941</v>
      </c>
      <c r="Q7" s="101">
        <f t="shared" si="9"/>
        <v>21065.929349994287</v>
      </c>
      <c r="R7" s="101">
        <f t="shared" si="5"/>
        <v>87657.603786999884</v>
      </c>
      <c r="S7" s="101">
        <f t="shared" si="6"/>
        <v>4470537.7931369944</v>
      </c>
    </row>
    <row r="8" spans="1:19" ht="15.75">
      <c r="A8" s="85" t="s">
        <v>47</v>
      </c>
      <c r="B8" s="97">
        <v>0</v>
      </c>
      <c r="C8" s="97">
        <v>2190914</v>
      </c>
      <c r="D8" s="88">
        <f>'Productivity Index'!B22</f>
        <v>4015303.04</v>
      </c>
      <c r="E8" s="97">
        <f>'Productivity Index'!C22</f>
        <v>0</v>
      </c>
      <c r="F8" s="88">
        <f t="shared" si="0"/>
        <v>6206217.04</v>
      </c>
      <c r="G8" s="94">
        <f>'Productivity Index'!H22</f>
        <v>4.3385353285884588E-2</v>
      </c>
      <c r="H8" s="90">
        <f>IF('Productivity Index'!G22&gt;0,'Productivity Index'!G22,0)</f>
        <v>116.73144174371873</v>
      </c>
      <c r="I8" s="91">
        <f t="shared" si="7"/>
        <v>5.7290079371970462E-2</v>
      </c>
      <c r="J8" s="183">
        <f>I8*'Productivity Index'!$E$5</f>
        <v>90828.964102393642</v>
      </c>
      <c r="K8" s="91">
        <f t="shared" si="1"/>
        <v>2.2620699657676061E-2</v>
      </c>
      <c r="L8" s="195">
        <f t="shared" si="10"/>
        <v>0</v>
      </c>
      <c r="M8" s="192">
        <f t="shared" si="2"/>
        <v>26039.899065944639</v>
      </c>
      <c r="N8" s="192">
        <f t="shared" si="8"/>
        <v>80306.060800000007</v>
      </c>
      <c r="O8" s="188">
        <f t="shared" si="3"/>
        <v>36562.802368338278</v>
      </c>
      <c r="P8" s="101">
        <f t="shared" si="4"/>
        <v>6323085.9031683384</v>
      </c>
      <c r="Q8" s="101">
        <f t="shared" si="9"/>
        <v>116868.86316833831</v>
      </c>
      <c r="R8" s="101">
        <f t="shared" si="5"/>
        <v>126461.71806336677</v>
      </c>
      <c r="S8" s="101">
        <f t="shared" si="6"/>
        <v>6449547.621231705</v>
      </c>
    </row>
    <row r="9" spans="1:19" ht="15.75">
      <c r="A9" s="85" t="s">
        <v>48</v>
      </c>
      <c r="B9" s="97">
        <v>0</v>
      </c>
      <c r="C9" s="97">
        <v>1417628</v>
      </c>
      <c r="D9" s="88">
        <f>'Productivity Index'!B23</f>
        <v>6586715.8413540693</v>
      </c>
      <c r="E9" s="97">
        <f>'Productivity Index'!C23</f>
        <v>67716.321354069296</v>
      </c>
      <c r="F9" s="88">
        <f t="shared" si="0"/>
        <v>7936627.5199999996</v>
      </c>
      <c r="G9" s="94">
        <f>'Productivity Index'!H23</f>
        <v>5.0163553425034407E-3</v>
      </c>
      <c r="H9" s="90">
        <f>IF('Productivity Index'!G23&gt;0,'Productivity Index'!G23,0)</f>
        <v>31.873167438713608</v>
      </c>
      <c r="I9" s="91">
        <f t="shared" si="7"/>
        <v>1.5642883058096593E-2</v>
      </c>
      <c r="J9" s="183">
        <f>I9*'Productivity Index'!$E$5</f>
        <v>24800.574188712781</v>
      </c>
      <c r="K9" s="91">
        <f t="shared" si="1"/>
        <v>3.8043528171195174E-3</v>
      </c>
      <c r="L9" s="195">
        <f t="shared" si="10"/>
        <v>0</v>
      </c>
      <c r="M9" s="192">
        <f t="shared" si="2"/>
        <v>7110.1157547445109</v>
      </c>
      <c r="N9" s="192">
        <f t="shared" si="8"/>
        <v>31910.689943457292</v>
      </c>
      <c r="O9" s="188">
        <f t="shared" si="3"/>
        <v>0</v>
      </c>
      <c r="P9" s="101">
        <f t="shared" si="4"/>
        <v>7968538.2099434575</v>
      </c>
      <c r="Q9" s="101">
        <f t="shared" si="9"/>
        <v>31910.689943457954</v>
      </c>
      <c r="R9" s="101">
        <f t="shared" si="5"/>
        <v>159370.76419886915</v>
      </c>
      <c r="S9" s="101">
        <f t="shared" si="6"/>
        <v>8127908.974142327</v>
      </c>
    </row>
    <row r="10" spans="1:19" ht="15.75">
      <c r="A10" s="85" t="s">
        <v>49</v>
      </c>
      <c r="B10" s="97">
        <v>0</v>
      </c>
      <c r="C10" s="97">
        <v>1156386</v>
      </c>
      <c r="D10" s="88">
        <f>'Productivity Index'!B24</f>
        <v>3350897.5389535343</v>
      </c>
      <c r="E10" s="97">
        <f>'Productivity Index'!C24</f>
        <v>0</v>
      </c>
      <c r="F10" s="88">
        <f t="shared" si="0"/>
        <v>4507283.5389535343</v>
      </c>
      <c r="G10" s="94">
        <f>'Productivity Index'!H24</f>
        <v>-2.5270671277188798E-2</v>
      </c>
      <c r="H10" s="90">
        <f>IF('Productivity Index'!G24&gt;0,'Productivity Index'!G24,0)</f>
        <v>0</v>
      </c>
      <c r="I10" s="91">
        <f t="shared" si="7"/>
        <v>0</v>
      </c>
      <c r="J10" s="183">
        <f>I10*'Productivity Index'!$E$5</f>
        <v>0</v>
      </c>
      <c r="K10" s="91">
        <f t="shared" si="1"/>
        <v>0</v>
      </c>
      <c r="L10" s="195">
        <f>IF(H10&gt;0,0,-(IF(G10&gt;-(0.02),G10*(D10-E10),(D10-E10)*-(0.02))))-97480</f>
        <v>-30462.049220929315</v>
      </c>
      <c r="M10" s="192">
        <f>IF(L10&gt;0,-L10,$L$27*I10)+30462</f>
        <v>30462</v>
      </c>
      <c r="N10" s="192">
        <f t="shared" si="8"/>
        <v>30462</v>
      </c>
      <c r="O10" s="188">
        <f t="shared" si="3"/>
        <v>0</v>
      </c>
      <c r="P10" s="101">
        <f t="shared" si="4"/>
        <v>4537745.5389535343</v>
      </c>
      <c r="Q10" s="101">
        <f t="shared" si="9"/>
        <v>30462</v>
      </c>
      <c r="R10" s="101">
        <f t="shared" si="5"/>
        <v>90754.910779070691</v>
      </c>
      <c r="S10" s="101">
        <f t="shared" si="6"/>
        <v>4628500.4497326054</v>
      </c>
    </row>
    <row r="11" spans="1:19" ht="15.75">
      <c r="A11" s="85" t="s">
        <v>50</v>
      </c>
      <c r="B11" s="97">
        <v>0</v>
      </c>
      <c r="C11" s="97">
        <v>2245209</v>
      </c>
      <c r="D11" s="88">
        <f>'Productivity Index'!B25</f>
        <v>5807839.7400000002</v>
      </c>
      <c r="E11" s="97">
        <f>'Productivity Index'!C25</f>
        <v>0</v>
      </c>
      <c r="F11" s="88">
        <f t="shared" si="0"/>
        <v>8053048.7400000002</v>
      </c>
      <c r="G11" s="94">
        <f>'Productivity Index'!H25</f>
        <v>3.9167261746194747E-2</v>
      </c>
      <c r="H11" s="90">
        <f>IF('Productivity Index'!G25&gt;0,'Productivity Index'!G25,0)</f>
        <v>147.59681922201207</v>
      </c>
      <c r="I11" s="91">
        <f t="shared" si="7"/>
        <v>7.2438353899920468E-2</v>
      </c>
      <c r="J11" s="183">
        <f>I11*'Productivity Index'!$E$5</f>
        <v>114845.37494342214</v>
      </c>
      <c r="K11" s="91">
        <f t="shared" si="1"/>
        <v>1.9774198339608823E-2</v>
      </c>
      <c r="L11" s="195">
        <f t="shared" si="10"/>
        <v>0</v>
      </c>
      <c r="M11" s="192">
        <f t="shared" si="2"/>
        <v>32925.201792964952</v>
      </c>
      <c r="N11" s="192">
        <f t="shared" si="8"/>
        <v>116156.7948</v>
      </c>
      <c r="O11" s="188">
        <f t="shared" si="3"/>
        <v>31613.781936387095</v>
      </c>
      <c r="P11" s="101">
        <f t="shared" si="4"/>
        <v>8200819.3167363871</v>
      </c>
      <c r="Q11" s="101">
        <f t="shared" si="9"/>
        <v>147770.57673638687</v>
      </c>
      <c r="R11" s="101">
        <f t="shared" si="5"/>
        <v>164016.38633472775</v>
      </c>
      <c r="S11" s="101">
        <f t="shared" si="6"/>
        <v>8364835.7030711146</v>
      </c>
    </row>
    <row r="12" spans="1:19" ht="15.75">
      <c r="A12" s="85" t="s">
        <v>51</v>
      </c>
      <c r="B12" s="97">
        <v>0</v>
      </c>
      <c r="C12" s="97">
        <v>1350337</v>
      </c>
      <c r="D12" s="88">
        <f>'Productivity Index'!B26</f>
        <v>3808951.4586195759</v>
      </c>
      <c r="E12" s="97">
        <f>'Productivity Index'!C26</f>
        <v>192480.25861957594</v>
      </c>
      <c r="F12" s="88">
        <f t="shared" si="0"/>
        <v>4966808.2</v>
      </c>
      <c r="G12" s="94">
        <f>'Productivity Index'!H26</f>
        <v>4.2685352250696584E-2</v>
      </c>
      <c r="H12" s="90">
        <f>IF('Productivity Index'!G26&gt;0,'Productivity Index'!G26,0)</f>
        <v>166.7576671642355</v>
      </c>
      <c r="I12" s="91">
        <f t="shared" si="7"/>
        <v>8.1842217015517651E-2</v>
      </c>
      <c r="J12" s="183">
        <f>I12*'Productivity Index'!$E$5</f>
        <v>129754.46836262755</v>
      </c>
      <c r="K12" s="91">
        <f t="shared" si="1"/>
        <v>3.5878750634770036E-2</v>
      </c>
      <c r="L12" s="195">
        <f t="shared" si="10"/>
        <v>0</v>
      </c>
      <c r="M12" s="192">
        <f t="shared" si="2"/>
        <v>37199.513315038304</v>
      </c>
      <c r="N12" s="192">
        <f t="shared" si="8"/>
        <v>72329.423999999999</v>
      </c>
      <c r="O12" s="188">
        <f t="shared" si="3"/>
        <v>94624.557677665842</v>
      </c>
      <c r="P12" s="101">
        <f t="shared" si="4"/>
        <v>5133762.1816776665</v>
      </c>
      <c r="Q12" s="101">
        <f t="shared" si="9"/>
        <v>166953.98167766631</v>
      </c>
      <c r="R12" s="101">
        <f t="shared" si="5"/>
        <v>102675.24363355333</v>
      </c>
      <c r="S12" s="101">
        <f t="shared" si="6"/>
        <v>5236437.4253112199</v>
      </c>
    </row>
    <row r="13" spans="1:19" ht="15.75">
      <c r="A13" s="85" t="s">
        <v>52</v>
      </c>
      <c r="B13" s="97">
        <v>1050182</v>
      </c>
      <c r="C13" s="97">
        <v>783221</v>
      </c>
      <c r="D13" s="88">
        <f>'Productivity Index'!B27</f>
        <v>8843482.4863145873</v>
      </c>
      <c r="E13" s="97">
        <f>'Productivity Index'!C27</f>
        <v>266106.64631458733</v>
      </c>
      <c r="F13" s="88">
        <f t="shared" si="0"/>
        <v>10410778.84</v>
      </c>
      <c r="G13" s="94">
        <f>'Productivity Index'!H27</f>
        <v>8.2976284990186111E-2</v>
      </c>
      <c r="H13" s="90">
        <f>IF('Productivity Index'!G27&gt;0,'Productivity Index'!G27,0)</f>
        <v>223.79773197308486</v>
      </c>
      <c r="I13" s="91">
        <f t="shared" si="7"/>
        <v>0.10983664415071714</v>
      </c>
      <c r="J13" s="183">
        <f>I13*'Productivity Index'!$E$5</f>
        <v>174137.45482736867</v>
      </c>
      <c r="K13" s="91">
        <f t="shared" si="1"/>
        <v>2.0301949929171888E-2</v>
      </c>
      <c r="L13" s="195">
        <f t="shared" si="10"/>
        <v>0</v>
      </c>
      <c r="M13" s="192">
        <f t="shared" si="2"/>
        <v>49923.741750410147</v>
      </c>
      <c r="N13" s="192">
        <f t="shared" si="8"/>
        <v>171547.51680000001</v>
      </c>
      <c r="O13" s="188">
        <f t="shared" si="3"/>
        <v>52513.679777778802</v>
      </c>
      <c r="P13" s="101">
        <f t="shared" si="4"/>
        <v>10634840.036577778</v>
      </c>
      <c r="Q13" s="101">
        <f t="shared" si="9"/>
        <v>224061.19657777809</v>
      </c>
      <c r="R13" s="101">
        <f t="shared" si="5"/>
        <v>212696.80073155556</v>
      </c>
      <c r="S13" s="101">
        <f t="shared" si="6"/>
        <v>10847536.837309334</v>
      </c>
    </row>
    <row r="14" spans="1:19" ht="15.75">
      <c r="A14" s="85" t="s">
        <v>53</v>
      </c>
      <c r="B14" s="97">
        <v>620225</v>
      </c>
      <c r="C14" s="97">
        <v>575177</v>
      </c>
      <c r="D14" s="88">
        <f>'Productivity Index'!B28</f>
        <v>7583685.9276525564</v>
      </c>
      <c r="E14" s="97">
        <f>'Productivity Index'!C28</f>
        <v>0</v>
      </c>
      <c r="F14" s="88">
        <f t="shared" si="0"/>
        <v>8779087.9276525564</v>
      </c>
      <c r="G14" s="94">
        <f>'Productivity Index'!H28</f>
        <v>-5.8737700154994606E-3</v>
      </c>
      <c r="H14" s="90">
        <f>IF('Productivity Index'!G28&gt;0,'Productivity Index'!G28,0)</f>
        <v>0</v>
      </c>
      <c r="I14" s="91">
        <f t="shared" si="7"/>
        <v>0</v>
      </c>
      <c r="J14" s="183">
        <f>I14*'Productivity Index'!$E$5</f>
        <v>0</v>
      </c>
      <c r="K14" s="91">
        <f t="shared" si="1"/>
        <v>0</v>
      </c>
      <c r="L14" s="195">
        <f>IF(H14&gt;0,0,-(IF(G14&gt;-(0.02),G14*(D14-E14),(D14-E14)*-(0.02))))-66585.5</f>
        <v>-22040.672991189203</v>
      </c>
      <c r="M14" s="192">
        <f>IF(L14&gt;0,-L14,$L$27*I14)+22040.5</f>
        <v>22040.5</v>
      </c>
      <c r="N14" s="192">
        <f t="shared" si="8"/>
        <v>22040.5</v>
      </c>
      <c r="O14" s="188">
        <f t="shared" si="3"/>
        <v>0</v>
      </c>
      <c r="P14" s="101">
        <f t="shared" si="4"/>
        <v>8801128.4276525564</v>
      </c>
      <c r="Q14" s="101">
        <f t="shared" si="9"/>
        <v>22040.5</v>
      </c>
      <c r="R14" s="101">
        <f t="shared" si="5"/>
        <v>176022.56855305113</v>
      </c>
      <c r="S14" s="101">
        <f t="shared" si="6"/>
        <v>8977150.9962056074</v>
      </c>
    </row>
    <row r="15" spans="1:19" ht="15.75">
      <c r="A15" s="85" t="s">
        <v>54</v>
      </c>
      <c r="B15" s="97">
        <v>1570695</v>
      </c>
      <c r="C15" s="97">
        <v>668021</v>
      </c>
      <c r="D15" s="88">
        <f>'Productivity Index'!B29</f>
        <v>9445631.844568355</v>
      </c>
      <c r="E15" s="97">
        <f>'Productivity Index'!C29</f>
        <v>270075.98456835502</v>
      </c>
      <c r="F15" s="88">
        <f t="shared" si="0"/>
        <v>11414271.859999999</v>
      </c>
      <c r="G15" s="94">
        <f>'Productivity Index'!H29</f>
        <v>9.0200611560309826E-3</v>
      </c>
      <c r="H15" s="90">
        <f>IF('Productivity Index'!G29&gt;0,'Productivity Index'!G29,0)</f>
        <v>49.456883613118407</v>
      </c>
      <c r="I15" s="91">
        <f t="shared" si="7"/>
        <v>2.4272713035674659E-2</v>
      </c>
      <c r="J15" s="183">
        <f>I15*'Productivity Index'!$E$5</f>
        <v>38482.498281607237</v>
      </c>
      <c r="K15" s="91">
        <f t="shared" si="1"/>
        <v>4.1940236503129127E-3</v>
      </c>
      <c r="L15" s="195">
        <f t="shared" si="10"/>
        <v>0</v>
      </c>
      <c r="M15" s="192">
        <f t="shared" si="2"/>
        <v>11032.608165923501</v>
      </c>
      <c r="N15" s="192">
        <f t="shared" si="8"/>
        <v>49515.106447530736</v>
      </c>
      <c r="O15" s="188">
        <f t="shared" si="3"/>
        <v>0</v>
      </c>
      <c r="P15" s="101">
        <f t="shared" si="4"/>
        <v>11463786.96644753</v>
      </c>
      <c r="Q15" s="101">
        <f t="shared" si="9"/>
        <v>49515.10644753091</v>
      </c>
      <c r="R15" s="101">
        <f t="shared" si="5"/>
        <v>229275.73932895061</v>
      </c>
      <c r="S15" s="101">
        <f t="shared" si="6"/>
        <v>11693062.705776481</v>
      </c>
    </row>
    <row r="16" spans="1:19" ht="15.75">
      <c r="A16" s="109" t="s">
        <v>55</v>
      </c>
      <c r="B16" s="97">
        <v>1388089</v>
      </c>
      <c r="C16" s="97">
        <v>0</v>
      </c>
      <c r="D16" s="88">
        <f>'Productivity Index'!B30</f>
        <v>12058968.882229812</v>
      </c>
      <c r="E16" s="97">
        <f>'Productivity Index'!C30</f>
        <v>620749.06222981238</v>
      </c>
      <c r="F16" s="88">
        <f t="shared" si="0"/>
        <v>12826308.82</v>
      </c>
      <c r="G16" s="94">
        <f>'Productivity Index'!H30</f>
        <v>1.3607688202278211E-2</v>
      </c>
      <c r="H16" s="90">
        <f>IF('Productivity Index'!G30&gt;0,'Productivity Index'!G30,0)</f>
        <v>208.27019838388696</v>
      </c>
      <c r="I16" s="91">
        <f t="shared" si="7"/>
        <v>0.10221595842553674</v>
      </c>
      <c r="J16" s="183">
        <f>I16*'Productivity Index'!$E$5</f>
        <v>162055.45044273714</v>
      </c>
      <c r="K16" s="91">
        <f t="shared" si="1"/>
        <v>1.4167890894995681E-2</v>
      </c>
      <c r="L16" s="195">
        <f t="shared" si="10"/>
        <v>0</v>
      </c>
      <c r="M16" s="192">
        <f t="shared" si="2"/>
        <v>46459.932845406751</v>
      </c>
      <c r="N16" s="192">
        <f t="shared" si="8"/>
        <v>208515.3832881439</v>
      </c>
      <c r="O16" s="188">
        <f t="shared" si="3"/>
        <v>0</v>
      </c>
      <c r="P16" s="101">
        <f t="shared" si="4"/>
        <v>13034824.203288144</v>
      </c>
      <c r="Q16" s="101">
        <f t="shared" si="9"/>
        <v>208515.3832881432</v>
      </c>
      <c r="R16" s="101">
        <f t="shared" si="5"/>
        <v>260696.48406576287</v>
      </c>
      <c r="S16" s="101">
        <f t="shared" si="6"/>
        <v>13295520.687353907</v>
      </c>
    </row>
    <row r="17" spans="1:19" ht="15.75">
      <c r="A17" s="85" t="s">
        <v>56</v>
      </c>
      <c r="B17" s="97">
        <v>0</v>
      </c>
      <c r="C17" s="97">
        <v>1271841</v>
      </c>
      <c r="D17" s="88">
        <f>'Productivity Index'!B31</f>
        <v>3336266.4842255521</v>
      </c>
      <c r="E17" s="97">
        <f>'Productivity Index'!C31</f>
        <v>164314.34422555205</v>
      </c>
      <c r="F17" s="88">
        <f t="shared" si="0"/>
        <v>4443793.1400000006</v>
      </c>
      <c r="G17" s="94">
        <f>'Productivity Index'!H31</f>
        <v>7.5050345029757451E-2</v>
      </c>
      <c r="H17" s="90">
        <f>IF('Productivity Index'!G31&gt;0,'Productivity Index'!G31,0)</f>
        <v>239.75536234869332</v>
      </c>
      <c r="I17" s="91">
        <f t="shared" si="7"/>
        <v>0.11766841506993797</v>
      </c>
      <c r="J17" s="183">
        <f>I17*'Productivity Index'!$E$5</f>
        <v>186554.1183662939</v>
      </c>
      <c r="K17" s="91">
        <f t="shared" si="1"/>
        <v>5.8813661156405059E-2</v>
      </c>
      <c r="L17" s="195">
        <f t="shared" si="10"/>
        <v>0</v>
      </c>
      <c r="M17" s="192">
        <f t="shared" si="2"/>
        <v>53483.494616521362</v>
      </c>
      <c r="N17" s="192">
        <f t="shared" si="8"/>
        <v>63439.042800000003</v>
      </c>
      <c r="O17" s="188">
        <f t="shared" si="3"/>
        <v>176598.57018281525</v>
      </c>
      <c r="P17" s="101">
        <f t="shared" si="4"/>
        <v>4683830.7529828157</v>
      </c>
      <c r="Q17" s="101">
        <f t="shared" si="9"/>
        <v>240037.61298281513</v>
      </c>
      <c r="R17" s="101">
        <f t="shared" si="5"/>
        <v>93676.615059656309</v>
      </c>
      <c r="S17" s="101">
        <f t="shared" si="6"/>
        <v>4777507.3680424718</v>
      </c>
    </row>
    <row r="18" spans="1:19" ht="15.75">
      <c r="A18" s="85" t="s">
        <v>57</v>
      </c>
      <c r="B18" s="97">
        <v>1022735</v>
      </c>
      <c r="C18" s="97">
        <v>529856</v>
      </c>
      <c r="D18" s="88">
        <f>'Productivity Index'!B32</f>
        <v>9255215.726597026</v>
      </c>
      <c r="E18" s="97">
        <f>'Productivity Index'!C32</f>
        <v>0</v>
      </c>
      <c r="F18" s="88">
        <f t="shared" si="0"/>
        <v>10807806.726597026</v>
      </c>
      <c r="G18" s="94">
        <f>'Productivity Index'!H32</f>
        <v>-1.6129930922968855E-2</v>
      </c>
      <c r="H18" s="90">
        <f>IF('Productivity Index'!G32&gt;0,'Productivity Index'!G32,0)</f>
        <v>0</v>
      </c>
      <c r="I18" s="91">
        <f t="shared" si="7"/>
        <v>0</v>
      </c>
      <c r="J18" s="183">
        <f>I18*'Productivity Index'!$E$5</f>
        <v>0</v>
      </c>
      <c r="K18" s="91">
        <f t="shared" si="1"/>
        <v>0</v>
      </c>
      <c r="L18" s="195">
        <f t="shared" si="10"/>
        <v>149285.99034718503</v>
      </c>
      <c r="M18" s="192">
        <f t="shared" si="2"/>
        <v>-149285.99034718503</v>
      </c>
      <c r="N18" s="192">
        <f t="shared" si="8"/>
        <v>0</v>
      </c>
      <c r="O18" s="188">
        <f t="shared" si="3"/>
        <v>0</v>
      </c>
      <c r="P18" s="101">
        <f t="shared" si="4"/>
        <v>10658520.736249842</v>
      </c>
      <c r="Q18" s="101">
        <f t="shared" si="9"/>
        <v>-149285.99034718424</v>
      </c>
      <c r="R18" s="101">
        <f t="shared" si="5"/>
        <v>213170.41472499684</v>
      </c>
      <c r="S18" s="101">
        <f t="shared" si="6"/>
        <v>10871691.150974838</v>
      </c>
    </row>
    <row r="19" spans="1:19" ht="15.75">
      <c r="A19" s="85" t="s">
        <v>58</v>
      </c>
      <c r="B19" s="97">
        <v>718249</v>
      </c>
      <c r="C19" s="97">
        <v>461389</v>
      </c>
      <c r="D19" s="88">
        <f>'Productivity Index'!B33</f>
        <v>6207823.1642925497</v>
      </c>
      <c r="E19" s="97">
        <f>'Productivity Index'!C33</f>
        <v>18412.164292549714</v>
      </c>
      <c r="F19" s="88">
        <f t="shared" si="0"/>
        <v>7369049</v>
      </c>
      <c r="G19" s="94">
        <f>'Productivity Index'!H33</f>
        <v>4.8787617973179006E-3</v>
      </c>
      <c r="H19" s="90">
        <f>IF('Productivity Index'!G33&gt;0,'Productivity Index'!G33,0)</f>
        <v>19.100040093073858</v>
      </c>
      <c r="I19" s="91">
        <f t="shared" si="7"/>
        <v>9.3740195151740258E-3</v>
      </c>
      <c r="J19" s="183">
        <f>I19*'Productivity Index'!$E$5</f>
        <v>14861.778712344529</v>
      </c>
      <c r="K19" s="91">
        <f t="shared" si="1"/>
        <v>2.4011620350215114E-3</v>
      </c>
      <c r="L19" s="195">
        <f t="shared" si="10"/>
        <v>0</v>
      </c>
      <c r="M19" s="192">
        <f t="shared" si="2"/>
        <v>4260.7467940907354</v>
      </c>
      <c r="N19" s="192">
        <f t="shared" si="8"/>
        <v>19122.525506435264</v>
      </c>
      <c r="O19" s="188">
        <f t="shared" si="3"/>
        <v>0</v>
      </c>
      <c r="P19" s="101">
        <f t="shared" si="4"/>
        <v>7388171.525506435</v>
      </c>
      <c r="Q19" s="101">
        <f t="shared" si="9"/>
        <v>19122.525506434962</v>
      </c>
      <c r="R19" s="101">
        <f t="shared" si="5"/>
        <v>147763.4305101287</v>
      </c>
      <c r="S19" s="101">
        <f t="shared" si="6"/>
        <v>7535934.9560165638</v>
      </c>
    </row>
    <row r="20" spans="1:19" ht="15.75">
      <c r="A20" s="85" t="s">
        <v>59</v>
      </c>
      <c r="B20" s="97">
        <v>283144.4634472481</v>
      </c>
      <c r="C20" s="97">
        <v>0</v>
      </c>
      <c r="D20" s="88">
        <f>'Productivity Index'!B34</f>
        <v>5568683.4000000004</v>
      </c>
      <c r="E20" s="97">
        <f>'Productivity Index'!C34</f>
        <v>0</v>
      </c>
      <c r="F20" s="88">
        <f t="shared" si="0"/>
        <v>5851827.8634472489</v>
      </c>
      <c r="G20" s="94">
        <f>'Productivity Index'!H34</f>
        <v>-4.2225968779178148E-2</v>
      </c>
      <c r="H20" s="90">
        <f>IF('Productivity Index'!G34&gt;0,'Productivity Index'!G34,0)</f>
        <v>0</v>
      </c>
      <c r="I20" s="91">
        <f t="shared" si="7"/>
        <v>0</v>
      </c>
      <c r="J20" s="183">
        <f>I20*'Productivity Index'!$E$5</f>
        <v>0</v>
      </c>
      <c r="K20" s="91">
        <f t="shared" si="1"/>
        <v>0</v>
      </c>
      <c r="L20" s="195">
        <f t="shared" si="10"/>
        <v>111373.66800000001</v>
      </c>
      <c r="M20" s="192">
        <f t="shared" si="2"/>
        <v>-111373.66800000001</v>
      </c>
      <c r="N20" s="192">
        <f t="shared" si="8"/>
        <v>0</v>
      </c>
      <c r="O20" s="188">
        <f t="shared" si="3"/>
        <v>0</v>
      </c>
      <c r="P20" s="101">
        <f t="shared" si="4"/>
        <v>5740454.1954472493</v>
      </c>
      <c r="Q20" s="101">
        <f t="shared" si="9"/>
        <v>-111373.6679999996</v>
      </c>
      <c r="R20" s="101">
        <f t="shared" si="5"/>
        <v>114809.08390894499</v>
      </c>
      <c r="S20" s="101">
        <f t="shared" si="6"/>
        <v>5855263.2793561947</v>
      </c>
    </row>
    <row r="21" spans="1:19" ht="15.75">
      <c r="A21" s="85" t="s">
        <v>60</v>
      </c>
      <c r="B21" s="97">
        <v>0</v>
      </c>
      <c r="C21" s="97">
        <v>1975199</v>
      </c>
      <c r="D21" s="88">
        <f>'Productivity Index'!B35</f>
        <v>5354958.22</v>
      </c>
      <c r="E21" s="97">
        <f>'Productivity Index'!C35</f>
        <v>0</v>
      </c>
      <c r="F21" s="88">
        <f t="shared" si="0"/>
        <v>7330157.2199999997</v>
      </c>
      <c r="G21" s="94">
        <f>'Productivity Index'!H35</f>
        <v>-6.9032411756337036E-4</v>
      </c>
      <c r="H21" s="90">
        <f>IF('Productivity Index'!G35&gt;0,'Productivity Index'!G35,0)</f>
        <v>0</v>
      </c>
      <c r="I21" s="91">
        <f t="shared" si="7"/>
        <v>0</v>
      </c>
      <c r="J21" s="183">
        <f>I21*'Productivity Index'!$E$5</f>
        <v>0</v>
      </c>
      <c r="K21" s="91">
        <f t="shared" si="1"/>
        <v>0</v>
      </c>
      <c r="L21" s="195">
        <f>IF(H21&gt;0,0,-(IF(G21&gt;-(0.02),G21*(D21-E21),(D21-E21)*-(0.02))))-3696.5</f>
        <v>0.15680781021637813</v>
      </c>
      <c r="M21" s="192">
        <f t="shared" si="2"/>
        <v>-0.15680781021637813</v>
      </c>
      <c r="N21" s="192">
        <f t="shared" si="8"/>
        <v>0</v>
      </c>
      <c r="O21" s="188">
        <f t="shared" si="3"/>
        <v>0</v>
      </c>
      <c r="P21" s="101">
        <f t="shared" si="4"/>
        <v>7330157.0631921897</v>
      </c>
      <c r="Q21" s="101">
        <f t="shared" si="9"/>
        <v>-0.15680781006813049</v>
      </c>
      <c r="R21" s="101">
        <f t="shared" si="5"/>
        <v>146603.14126384381</v>
      </c>
      <c r="S21" s="101">
        <f t="shared" si="6"/>
        <v>7476760.2044560332</v>
      </c>
    </row>
    <row r="22" spans="1:19" ht="15.75">
      <c r="A22" s="85" t="s">
        <v>61</v>
      </c>
      <c r="B22" s="97">
        <v>0</v>
      </c>
      <c r="C22" s="97">
        <v>866760</v>
      </c>
      <c r="D22" s="88">
        <f>'Productivity Index'!B36</f>
        <v>4586955.6875382736</v>
      </c>
      <c r="E22" s="97">
        <f>'Productivity Index'!C36</f>
        <v>310837.22753827454</v>
      </c>
      <c r="F22" s="88">
        <f t="shared" si="0"/>
        <v>5142878.459999999</v>
      </c>
      <c r="G22" s="94">
        <f>'Productivity Index'!H36</f>
        <v>8.5439574803982482E-2</v>
      </c>
      <c r="H22" s="90">
        <f>IF('Productivity Index'!G36&gt;0,'Productivity Index'!G36,0)</f>
        <v>300.96192091889816</v>
      </c>
      <c r="I22" s="91">
        <f t="shared" si="7"/>
        <v>0.14770769622839997</v>
      </c>
      <c r="J22" s="183">
        <f>I22*'Productivity Index'!$E$5</f>
        <v>234179.06181049097</v>
      </c>
      <c r="K22" s="91">
        <f t="shared" si="1"/>
        <v>5.476440000459927E-2</v>
      </c>
      <c r="L22" s="195">
        <f t="shared" si="10"/>
        <v>0</v>
      </c>
      <c r="M22" s="192">
        <f t="shared" si="2"/>
        <v>67137.164814831282</v>
      </c>
      <c r="N22" s="192">
        <f t="shared" si="8"/>
        <v>85522.369199999986</v>
      </c>
      <c r="O22" s="188">
        <f t="shared" si="3"/>
        <v>215793.85742532226</v>
      </c>
      <c r="P22" s="101">
        <f t="shared" si="4"/>
        <v>5444194.6866253214</v>
      </c>
      <c r="Q22" s="101">
        <f t="shared" si="9"/>
        <v>301316.22662532236</v>
      </c>
      <c r="R22" s="101">
        <f t="shared" si="5"/>
        <v>108883.89373250643</v>
      </c>
      <c r="S22" s="101">
        <f t="shared" si="6"/>
        <v>5553078.5803578282</v>
      </c>
    </row>
    <row r="23" spans="1:19" ht="15.75">
      <c r="A23" s="85" t="s">
        <v>93</v>
      </c>
      <c r="B23" s="97">
        <v>0</v>
      </c>
      <c r="C23" s="97">
        <v>1958947</v>
      </c>
      <c r="D23" s="88">
        <f>'Productivity Index'!B37</f>
        <v>4841810.2650560681</v>
      </c>
      <c r="E23" s="97">
        <f>'Productivity Index'!C37</f>
        <v>0</v>
      </c>
      <c r="F23" s="88">
        <f t="shared" si="0"/>
        <v>6800757.2650560681</v>
      </c>
      <c r="G23" s="94">
        <f>'Productivity Index'!H37</f>
        <v>-2.9545506210374755E-2</v>
      </c>
      <c r="H23" s="90">
        <f>IF('Productivity Index'!G37&gt;0,'Productivity Index'!G37,0)</f>
        <v>0</v>
      </c>
      <c r="I23" s="91">
        <f t="shared" si="7"/>
        <v>0</v>
      </c>
      <c r="J23" s="183">
        <f>I23*'Productivity Index'!$E$5</f>
        <v>0</v>
      </c>
      <c r="K23" s="91">
        <f t="shared" si="1"/>
        <v>0</v>
      </c>
      <c r="L23" s="195">
        <f t="shared" si="10"/>
        <v>96836.205301121357</v>
      </c>
      <c r="M23" s="192">
        <f t="shared" si="2"/>
        <v>-96836.205301121357</v>
      </c>
      <c r="N23" s="192">
        <f t="shared" si="8"/>
        <v>0</v>
      </c>
      <c r="O23" s="188">
        <f t="shared" si="3"/>
        <v>0</v>
      </c>
      <c r="P23" s="101">
        <f t="shared" si="4"/>
        <v>6703921.0597549463</v>
      </c>
      <c r="Q23" s="101">
        <f t="shared" si="9"/>
        <v>-96836.205301121809</v>
      </c>
      <c r="R23" s="101">
        <f t="shared" si="5"/>
        <v>134078.42119509893</v>
      </c>
      <c r="S23" s="101">
        <f t="shared" si="6"/>
        <v>6837999.4809500454</v>
      </c>
    </row>
    <row r="24" spans="1:19" ht="15.75">
      <c r="A24" s="85" t="s">
        <v>63</v>
      </c>
      <c r="B24" s="97">
        <v>0</v>
      </c>
      <c r="C24" s="97">
        <v>1291186</v>
      </c>
      <c r="D24" s="88">
        <f>'Productivity Index'!B38</f>
        <v>5403906.0326911528</v>
      </c>
      <c r="E24" s="97">
        <f>'Productivity Index'!C38</f>
        <v>113031.39269115277</v>
      </c>
      <c r="F24" s="88">
        <f t="shared" si="0"/>
        <v>6582060.6399999997</v>
      </c>
      <c r="G24" s="94">
        <f>'Productivity Index'!H38</f>
        <v>-1.8099245864202876E-2</v>
      </c>
      <c r="H24" s="90">
        <f>IF('Productivity Index'!G38&gt;0,'Productivity Index'!G38,0)</f>
        <v>0</v>
      </c>
      <c r="I24" s="91">
        <f t="shared" si="7"/>
        <v>0</v>
      </c>
      <c r="J24" s="183">
        <f>I24*'Productivity Index'!$E$5</f>
        <v>0</v>
      </c>
      <c r="K24" s="91">
        <f t="shared" si="1"/>
        <v>0</v>
      </c>
      <c r="L24" s="195">
        <f t="shared" si="10"/>
        <v>95760.840946035867</v>
      </c>
      <c r="M24" s="192">
        <f t="shared" si="2"/>
        <v>-95760.840946035867</v>
      </c>
      <c r="N24" s="192">
        <f t="shared" si="8"/>
        <v>0</v>
      </c>
      <c r="O24" s="188">
        <f t="shared" si="3"/>
        <v>0</v>
      </c>
      <c r="P24" s="101">
        <f t="shared" si="4"/>
        <v>6486299.7990539642</v>
      </c>
      <c r="Q24" s="101">
        <f t="shared" si="9"/>
        <v>-95760.84094603546</v>
      </c>
      <c r="R24" s="101">
        <f t="shared" si="5"/>
        <v>129725.99598107929</v>
      </c>
      <c r="S24" s="101">
        <f t="shared" si="6"/>
        <v>6616025.7950350437</v>
      </c>
    </row>
    <row r="25" spans="1:19" ht="15.75">
      <c r="A25" s="85" t="s">
        <v>64</v>
      </c>
      <c r="B25" s="97">
        <v>277210</v>
      </c>
      <c r="C25" s="97">
        <v>0</v>
      </c>
      <c r="D25" s="88">
        <f>'Productivity Index'!B39</f>
        <v>3504076.4505908927</v>
      </c>
      <c r="E25" s="97">
        <f>'Productivity Index'!C39</f>
        <v>139146.63059089269</v>
      </c>
      <c r="F25" s="88">
        <f t="shared" si="0"/>
        <v>3642139.82</v>
      </c>
      <c r="G25" s="94">
        <f>'Productivity Index'!H39</f>
        <v>5.3257197692333398E-2</v>
      </c>
      <c r="H25" s="90">
        <f>IF('Productivity Index'!G39&gt;0,'Productivity Index'!G39,0)</f>
        <v>108.46200502710894</v>
      </c>
      <c r="I25" s="91">
        <f t="shared" si="7"/>
        <v>5.323156112890632E-2</v>
      </c>
      <c r="J25" s="183">
        <f>I25*'Productivity Index'!$E$5</f>
        <v>84394.499150534321</v>
      </c>
      <c r="K25" s="91">
        <f t="shared" si="1"/>
        <v>2.5080611978568493E-2</v>
      </c>
      <c r="L25" s="195">
        <f t="shared" si="10"/>
        <v>0</v>
      </c>
      <c r="M25" s="192">
        <f t="shared" si="2"/>
        <v>24195.192153941451</v>
      </c>
      <c r="N25" s="192">
        <f t="shared" si="8"/>
        <v>67298.596399999995</v>
      </c>
      <c r="O25" s="188">
        <f t="shared" si="3"/>
        <v>41291.094904475773</v>
      </c>
      <c r="P25" s="101">
        <f t="shared" si="4"/>
        <v>3750729.5113044754</v>
      </c>
      <c r="Q25" s="101">
        <f t="shared" si="9"/>
        <v>108589.69130447553</v>
      </c>
      <c r="R25" s="101">
        <f t="shared" si="5"/>
        <v>75014.590226089509</v>
      </c>
      <c r="S25" s="101">
        <f t="shared" si="6"/>
        <v>3825744.1015305649</v>
      </c>
    </row>
    <row r="26" spans="1:19" ht="16.5" thickBot="1">
      <c r="A26" s="85" t="s">
        <v>65</v>
      </c>
      <c r="B26" s="97">
        <v>0</v>
      </c>
      <c r="C26" s="97">
        <v>2273772</v>
      </c>
      <c r="D26" s="88">
        <f>'Productivity Index'!B40</f>
        <v>14380565.08</v>
      </c>
      <c r="E26" s="97">
        <f>'Productivity Index'!C40</f>
        <v>0</v>
      </c>
      <c r="F26" s="88">
        <f t="shared" si="0"/>
        <v>16654337.08</v>
      </c>
      <c r="G26" s="94">
        <f>'Productivity Index'!H40</f>
        <v>2.6659868140475107E-2</v>
      </c>
      <c r="H26" s="90">
        <f>IF('Productivity Index'!G40&gt;0,'Productivity Index'!G40,0)</f>
        <v>344.82545069773914</v>
      </c>
      <c r="I26" s="91">
        <f t="shared" si="7"/>
        <v>0.16923527324643856</v>
      </c>
      <c r="J26" s="183">
        <f>I26*'Productivity Index'!$E$5</f>
        <v>268309.36048729118</v>
      </c>
      <c r="K26" s="91">
        <f t="shared" si="1"/>
        <v>1.8657775893691875E-2</v>
      </c>
      <c r="L26" s="195">
        <f t="shared" si="10"/>
        <v>0</v>
      </c>
      <c r="M26" s="192">
        <f t="shared" si="2"/>
        <v>76922.034007355731</v>
      </c>
      <c r="N26" s="192">
        <f t="shared" si="8"/>
        <v>287611.30160000001</v>
      </c>
      <c r="O26" s="188">
        <f t="shared" si="3"/>
        <v>57620.092894646921</v>
      </c>
      <c r="P26" s="101">
        <f t="shared" si="4"/>
        <v>16999568.474494647</v>
      </c>
      <c r="Q26" s="101">
        <f t="shared" si="9"/>
        <v>345231.39449464716</v>
      </c>
      <c r="R26" s="101">
        <f t="shared" si="5"/>
        <v>339991.36948989297</v>
      </c>
      <c r="S26" s="101">
        <f t="shared" si="6"/>
        <v>17339559.843984541</v>
      </c>
    </row>
    <row r="27" spans="1:19" ht="16.5" thickBot="1">
      <c r="A27" s="82" t="s">
        <v>89</v>
      </c>
      <c r="B27" s="99">
        <f>SUM(B5:B26)</f>
        <v>9943261.4634472486</v>
      </c>
      <c r="C27" s="99">
        <f>SUM(C5:C26)</f>
        <v>23372671</v>
      </c>
      <c r="D27" s="186">
        <f>'Productivity Index'!B41</f>
        <v>147775520.22</v>
      </c>
      <c r="E27" s="186">
        <f>'Productivity Index'!C41</f>
        <v>2162870.0324248215</v>
      </c>
      <c r="F27" s="186">
        <f>SUM(F5:F26)</f>
        <v>178928582.65102243</v>
      </c>
      <c r="G27" s="181">
        <f>'Productivity Index'!H41</f>
        <v>1.1539222210700742E-2</v>
      </c>
      <c r="H27" s="93">
        <f>SUM(H5:H26)</f>
        <v>2037.5507072666117</v>
      </c>
      <c r="I27" s="111">
        <f t="shared" si="7"/>
        <v>1</v>
      </c>
      <c r="J27" s="185">
        <f>SUM(J5:J26)</f>
        <v>1585422.2074412466</v>
      </c>
      <c r="K27" s="111">
        <f t="shared" si="1"/>
        <v>1.088794280853304E-2</v>
      </c>
      <c r="L27" s="196">
        <f t="shared" ref="L27:S27" si="11">SUM(L5:L26)</f>
        <v>454527.19478487625</v>
      </c>
      <c r="M27" s="194">
        <f t="shared" si="11"/>
        <v>-0.22221211851865519</v>
      </c>
      <c r="N27" s="194">
        <f t="shared" si="11"/>
        <v>1385833.4650586927</v>
      </c>
      <c r="O27" s="190">
        <f t="shared" si="11"/>
        <v>706618.43716743018</v>
      </c>
      <c r="P27" s="103">
        <f t="shared" si="11"/>
        <v>180514004.63625154</v>
      </c>
      <c r="Q27" s="103">
        <f t="shared" si="11"/>
        <v>1585421.9852291266</v>
      </c>
      <c r="R27" s="103">
        <f t="shared" si="11"/>
        <v>3610280.0927250315</v>
      </c>
      <c r="S27" s="103">
        <f t="shared" si="11"/>
        <v>184124284.72897658</v>
      </c>
    </row>
    <row r="28" spans="1:19">
      <c r="P28" s="100"/>
    </row>
  </sheetData>
  <mergeCells count="5">
    <mergeCell ref="A3:A4"/>
    <mergeCell ref="G3:O3"/>
    <mergeCell ref="B3:F3"/>
    <mergeCell ref="P3:S3"/>
    <mergeCell ref="A1:S1"/>
  </mergeCells>
  <printOptions horizontalCentered="1"/>
  <pageMargins left="0.25" right="0.25" top="0.75" bottom="0.75" header="0.3" footer="0.3"/>
  <pageSetup scale="42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>
              <from>
                <xdr:col>15</xdr:col>
                <xdr:colOff>647700</xdr:colOff>
                <xdr:row>0</xdr:row>
                <xdr:rowOff>57150</xdr:rowOff>
              </from>
              <to>
                <xdr:col>15</xdr:col>
                <xdr:colOff>1133475</xdr:colOff>
                <xdr:row>1</xdr:row>
                <xdr:rowOff>161925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6"/>
  <sheetViews>
    <sheetView showGridLines="0" tabSelected="1" zoomScaleNormal="100" zoomScaleSheetLayoutView="90" workbookViewId="0">
      <pane xSplit="1" ySplit="1" topLeftCell="B4" activePane="bottomRight" state="frozen"/>
      <selection pane="bottomRight" activeCell="H39" activeCellId="1" sqref="H29 H39"/>
      <selection pane="bottomLeft" activeCell="A2" sqref="A2"/>
      <selection pane="topRight" activeCell="B1" sqref="B1"/>
    </sheetView>
  </sheetViews>
  <sheetFormatPr defaultRowHeight="15"/>
  <cols>
    <col min="1" max="1" width="54.7109375" bestFit="1" customWidth="1"/>
    <col min="2" max="3" width="16.85546875" bestFit="1" customWidth="1"/>
    <col min="4" max="4" width="18.140625" bestFit="1" customWidth="1"/>
    <col min="5" max="5" width="18.140625" hidden="1" customWidth="1"/>
    <col min="6" max="6" width="17.42578125" bestFit="1" customWidth="1"/>
    <col min="7" max="7" width="19" customWidth="1"/>
    <col min="8" max="8" width="17.28515625" customWidth="1"/>
    <col min="9" max="9" width="19.28515625" bestFit="1" customWidth="1"/>
    <col min="10" max="10" width="10.140625" bestFit="1" customWidth="1"/>
    <col min="12" max="12" width="14.28515625" bestFit="1" customWidth="1"/>
    <col min="13" max="13" width="13.28515625" bestFit="1" customWidth="1"/>
  </cols>
  <sheetData>
    <row r="1" spans="1:13" ht="20.25">
      <c r="A1" s="246" t="s">
        <v>94</v>
      </c>
      <c r="B1" s="246"/>
      <c r="C1" s="246"/>
      <c r="D1" s="246"/>
      <c r="E1" s="246"/>
      <c r="F1" s="246"/>
      <c r="G1" s="246"/>
      <c r="H1" s="246"/>
      <c r="I1" s="246"/>
    </row>
    <row r="2" spans="1:13" ht="19.5" customHeight="1" thickBot="1">
      <c r="A2" s="6"/>
    </row>
    <row r="3" spans="1:13" ht="15.75" thickBot="1">
      <c r="A3" s="252" t="s">
        <v>95</v>
      </c>
      <c r="B3" s="253" t="s">
        <v>71</v>
      </c>
      <c r="C3" s="254"/>
      <c r="D3" s="254"/>
      <c r="E3" s="255"/>
      <c r="F3" s="256" t="s">
        <v>96</v>
      </c>
      <c r="G3" s="257"/>
      <c r="H3" s="257"/>
      <c r="I3" s="258"/>
    </row>
    <row r="4" spans="1:13" ht="48" thickBot="1">
      <c r="A4" s="259"/>
      <c r="B4" s="260" t="s">
        <v>6</v>
      </c>
      <c r="C4" s="260" t="s">
        <v>8</v>
      </c>
      <c r="D4" s="260" t="s">
        <v>18</v>
      </c>
      <c r="E4" s="261" t="s">
        <v>97</v>
      </c>
      <c r="F4" s="262" t="s">
        <v>98</v>
      </c>
      <c r="G4" s="262" t="s">
        <v>99</v>
      </c>
      <c r="H4" s="22" t="s">
        <v>100</v>
      </c>
      <c r="I4" s="262" t="s">
        <v>17</v>
      </c>
      <c r="L4" s="7"/>
    </row>
    <row r="5" spans="1:13">
      <c r="A5" s="8" t="s">
        <v>101</v>
      </c>
      <c r="B5" s="112">
        <v>0</v>
      </c>
      <c r="C5" s="112">
        <v>1527000</v>
      </c>
      <c r="D5" s="112">
        <f>SUM(B5:C5)</f>
        <v>1527000</v>
      </c>
      <c r="E5" s="166">
        <f t="shared" ref="E5:E27" si="0">C5*0.021</f>
        <v>32067.000000000004</v>
      </c>
      <c r="F5" s="167">
        <f t="shared" ref="F5:F28" si="1">C5*0.07</f>
        <v>106890.00000000001</v>
      </c>
      <c r="G5" s="167">
        <v>0</v>
      </c>
      <c r="H5" s="167">
        <f>F5+G5</f>
        <v>106890.00000000001</v>
      </c>
      <c r="I5" s="167">
        <f t="shared" ref="I5:I28" si="2">D5+H5</f>
        <v>1633890</v>
      </c>
      <c r="J5" s="9"/>
      <c r="L5" s="10"/>
    </row>
    <row r="6" spans="1:13">
      <c r="A6" s="8" t="s">
        <v>102</v>
      </c>
      <c r="B6" s="112">
        <v>0</v>
      </c>
      <c r="C6" s="112">
        <v>0</v>
      </c>
      <c r="D6" s="112">
        <f t="shared" ref="D6:D28" si="3">SUM(B6:C6)</f>
        <v>0</v>
      </c>
      <c r="E6" s="166">
        <f t="shared" si="0"/>
        <v>0</v>
      </c>
      <c r="F6" s="167">
        <f t="shared" si="1"/>
        <v>0</v>
      </c>
      <c r="G6" s="167">
        <v>2100000</v>
      </c>
      <c r="H6" s="167">
        <f t="shared" ref="H6:H28" si="4">F6+G6</f>
        <v>2100000</v>
      </c>
      <c r="I6" s="167">
        <f t="shared" si="2"/>
        <v>2100000</v>
      </c>
      <c r="J6" s="9"/>
      <c r="L6" s="10"/>
    </row>
    <row r="7" spans="1:13">
      <c r="A7" s="8" t="s">
        <v>103</v>
      </c>
      <c r="B7" s="112">
        <v>196755</v>
      </c>
      <c r="C7" s="112">
        <v>2483758</v>
      </c>
      <c r="D7" s="112">
        <f t="shared" si="3"/>
        <v>2680513</v>
      </c>
      <c r="E7" s="166">
        <f t="shared" si="0"/>
        <v>52158.918000000005</v>
      </c>
      <c r="F7" s="167">
        <f t="shared" si="1"/>
        <v>173863.06000000003</v>
      </c>
      <c r="G7" s="167">
        <v>0</v>
      </c>
      <c r="H7" s="167">
        <f t="shared" si="4"/>
        <v>173863.06000000003</v>
      </c>
      <c r="I7" s="167">
        <f t="shared" si="2"/>
        <v>2854376.06</v>
      </c>
      <c r="J7" s="9"/>
      <c r="L7" s="10"/>
    </row>
    <row r="8" spans="1:13">
      <c r="A8" s="8" t="s">
        <v>104</v>
      </c>
      <c r="B8" s="112">
        <v>0</v>
      </c>
      <c r="C8" s="112">
        <v>367936</v>
      </c>
      <c r="D8" s="112">
        <f t="shared" si="3"/>
        <v>367936</v>
      </c>
      <c r="E8" s="166">
        <f t="shared" si="0"/>
        <v>7726.6560000000009</v>
      </c>
      <c r="F8" s="167">
        <f t="shared" si="1"/>
        <v>25755.520000000004</v>
      </c>
      <c r="G8" s="167">
        <v>2082229</v>
      </c>
      <c r="H8" s="167">
        <f t="shared" si="4"/>
        <v>2107984.52</v>
      </c>
      <c r="I8" s="167">
        <f t="shared" si="2"/>
        <v>2475920.52</v>
      </c>
      <c r="J8" s="9"/>
      <c r="L8" s="10"/>
      <c r="M8" s="10"/>
    </row>
    <row r="9" spans="1:13">
      <c r="A9" s="8" t="s">
        <v>105</v>
      </c>
      <c r="B9" s="112">
        <v>0</v>
      </c>
      <c r="C9" s="112">
        <v>0</v>
      </c>
      <c r="D9" s="112">
        <v>0</v>
      </c>
      <c r="E9" s="166">
        <f t="shared" si="0"/>
        <v>0</v>
      </c>
      <c r="F9" s="167">
        <f t="shared" si="1"/>
        <v>0</v>
      </c>
      <c r="G9" s="167">
        <v>453563</v>
      </c>
      <c r="H9" s="167">
        <f t="shared" si="4"/>
        <v>453563</v>
      </c>
      <c r="I9" s="167">
        <f t="shared" si="2"/>
        <v>453563</v>
      </c>
      <c r="J9" s="9"/>
      <c r="L9" s="10"/>
      <c r="M9" s="10"/>
    </row>
    <row r="10" spans="1:13">
      <c r="A10" s="8" t="s">
        <v>106</v>
      </c>
      <c r="B10" s="112">
        <v>0</v>
      </c>
      <c r="C10" s="112">
        <v>0</v>
      </c>
      <c r="D10" s="112">
        <v>0</v>
      </c>
      <c r="E10" s="166">
        <f t="shared" ref="E10" si="5">C10*0.021</f>
        <v>0</v>
      </c>
      <c r="F10" s="167">
        <f t="shared" ref="F10" si="6">C10*0.07</f>
        <v>0</v>
      </c>
      <c r="G10" s="167">
        <v>2004769</v>
      </c>
      <c r="H10" s="167">
        <f t="shared" ref="H10" si="7">F10+G10</f>
        <v>2004769</v>
      </c>
      <c r="I10" s="167">
        <f t="shared" ref="I10" si="8">D10+H10</f>
        <v>2004769</v>
      </c>
      <c r="J10" s="9"/>
      <c r="L10" s="10"/>
      <c r="M10" s="10"/>
    </row>
    <row r="11" spans="1:13">
      <c r="A11" s="8" t="s">
        <v>107</v>
      </c>
      <c r="B11" s="112">
        <v>0</v>
      </c>
      <c r="C11" s="112">
        <v>81731</v>
      </c>
      <c r="D11" s="112">
        <f t="shared" si="3"/>
        <v>81731</v>
      </c>
      <c r="E11" s="166">
        <f t="shared" si="0"/>
        <v>1716.3510000000001</v>
      </c>
      <c r="F11" s="167">
        <f t="shared" si="1"/>
        <v>5721.170000000001</v>
      </c>
      <c r="G11" s="167">
        <v>0</v>
      </c>
      <c r="H11" s="167">
        <f t="shared" si="4"/>
        <v>5721.170000000001</v>
      </c>
      <c r="I11" s="167">
        <f t="shared" si="2"/>
        <v>87452.17</v>
      </c>
      <c r="J11" s="9"/>
      <c r="L11" s="10"/>
    </row>
    <row r="12" spans="1:13" ht="15.75">
      <c r="A12" s="20" t="s">
        <v>108</v>
      </c>
      <c r="B12" s="112">
        <v>0</v>
      </c>
      <c r="C12" s="112">
        <v>0</v>
      </c>
      <c r="D12" s="112">
        <f t="shared" si="3"/>
        <v>0</v>
      </c>
      <c r="E12" s="166">
        <f t="shared" si="0"/>
        <v>0</v>
      </c>
      <c r="F12" s="167">
        <f t="shared" si="1"/>
        <v>0</v>
      </c>
      <c r="G12" s="167">
        <v>0</v>
      </c>
      <c r="H12" s="167">
        <f t="shared" si="4"/>
        <v>0</v>
      </c>
      <c r="I12" s="167">
        <f t="shared" si="2"/>
        <v>0</v>
      </c>
      <c r="J12" s="9"/>
      <c r="L12" s="10"/>
    </row>
    <row r="13" spans="1:13" ht="15.75">
      <c r="A13" s="20" t="s">
        <v>109</v>
      </c>
      <c r="B13" s="112">
        <v>0</v>
      </c>
      <c r="C13" s="112">
        <v>0</v>
      </c>
      <c r="D13" s="112">
        <f t="shared" si="3"/>
        <v>0</v>
      </c>
      <c r="E13" s="166">
        <f t="shared" si="0"/>
        <v>0</v>
      </c>
      <c r="F13" s="167">
        <f t="shared" si="1"/>
        <v>0</v>
      </c>
      <c r="G13" s="167">
        <v>0</v>
      </c>
      <c r="H13" s="167">
        <f t="shared" si="4"/>
        <v>0</v>
      </c>
      <c r="I13" s="167">
        <f t="shared" si="2"/>
        <v>0</v>
      </c>
      <c r="J13" s="9"/>
      <c r="L13" s="10"/>
    </row>
    <row r="14" spans="1:13" ht="15.75">
      <c r="A14" s="20" t="s">
        <v>110</v>
      </c>
      <c r="B14" s="112">
        <v>47316</v>
      </c>
      <c r="C14" s="112">
        <v>375036</v>
      </c>
      <c r="D14" s="112">
        <f t="shared" si="3"/>
        <v>422352</v>
      </c>
      <c r="E14" s="166">
        <f t="shared" si="0"/>
        <v>7875.7560000000003</v>
      </c>
      <c r="F14" s="167">
        <f t="shared" si="1"/>
        <v>26252.520000000004</v>
      </c>
      <c r="G14" s="167">
        <v>500000</v>
      </c>
      <c r="H14" s="167">
        <f t="shared" si="4"/>
        <v>526252.52</v>
      </c>
      <c r="I14" s="167">
        <f t="shared" si="2"/>
        <v>948604.52</v>
      </c>
      <c r="J14" s="9"/>
      <c r="L14" s="10"/>
    </row>
    <row r="15" spans="1:13">
      <c r="A15" s="8" t="s">
        <v>111</v>
      </c>
      <c r="B15" s="112">
        <v>119755</v>
      </c>
      <c r="C15" s="112">
        <v>1680943</v>
      </c>
      <c r="D15" s="112">
        <f t="shared" si="3"/>
        <v>1800698</v>
      </c>
      <c r="E15" s="166">
        <f t="shared" si="0"/>
        <v>35299.803</v>
      </c>
      <c r="F15" s="167">
        <f t="shared" si="1"/>
        <v>117666.01000000001</v>
      </c>
      <c r="G15" s="167">
        <v>1290640</v>
      </c>
      <c r="H15" s="167">
        <f t="shared" si="4"/>
        <v>1408306.01</v>
      </c>
      <c r="I15" s="167">
        <f t="shared" si="2"/>
        <v>3209004.01</v>
      </c>
      <c r="J15" s="9"/>
      <c r="L15" s="10"/>
    </row>
    <row r="16" spans="1:13">
      <c r="A16" s="8" t="s">
        <v>112</v>
      </c>
      <c r="B16" s="112">
        <v>626158</v>
      </c>
      <c r="C16" s="112">
        <v>3479474</v>
      </c>
      <c r="D16" s="112">
        <f t="shared" si="3"/>
        <v>4105632</v>
      </c>
      <c r="E16" s="166">
        <f t="shared" si="0"/>
        <v>73068.953999999998</v>
      </c>
      <c r="F16" s="167">
        <f t="shared" si="1"/>
        <v>243563.18000000002</v>
      </c>
      <c r="G16" s="167">
        <v>0</v>
      </c>
      <c r="H16" s="167">
        <f t="shared" si="4"/>
        <v>243563.18000000002</v>
      </c>
      <c r="I16" s="167">
        <f t="shared" si="2"/>
        <v>4349195.18</v>
      </c>
      <c r="J16" s="9"/>
      <c r="L16" s="10"/>
    </row>
    <row r="17" spans="1:12">
      <c r="A17" s="8" t="s">
        <v>113</v>
      </c>
      <c r="B17" s="112">
        <v>181586</v>
      </c>
      <c r="C17" s="112">
        <v>2369274</v>
      </c>
      <c r="D17" s="112">
        <f t="shared" si="3"/>
        <v>2550860</v>
      </c>
      <c r="E17" s="166">
        <f t="shared" si="0"/>
        <v>49754.754000000001</v>
      </c>
      <c r="F17" s="167">
        <f t="shared" si="1"/>
        <v>165849.18000000002</v>
      </c>
      <c r="G17" s="167">
        <v>861390</v>
      </c>
      <c r="H17" s="167">
        <f t="shared" si="4"/>
        <v>1027239.18</v>
      </c>
      <c r="I17" s="167">
        <f t="shared" si="2"/>
        <v>3578099.18</v>
      </c>
      <c r="J17" s="9"/>
      <c r="L17" s="10"/>
    </row>
    <row r="18" spans="1:12">
      <c r="A18" s="8" t="s">
        <v>114</v>
      </c>
      <c r="B18" s="112">
        <v>7453366</v>
      </c>
      <c r="C18" s="112">
        <v>65800138</v>
      </c>
      <c r="D18" s="112">
        <f t="shared" si="3"/>
        <v>73253504</v>
      </c>
      <c r="E18" s="166">
        <f t="shared" si="0"/>
        <v>1381802.898</v>
      </c>
      <c r="F18" s="167">
        <f t="shared" si="1"/>
        <v>4606009.66</v>
      </c>
      <c r="G18" s="167">
        <v>0</v>
      </c>
      <c r="H18" s="167">
        <f t="shared" si="4"/>
        <v>4606009.66</v>
      </c>
      <c r="I18" s="167">
        <f t="shared" si="2"/>
        <v>77859513.659999996</v>
      </c>
      <c r="J18" s="9"/>
      <c r="L18" s="10"/>
    </row>
    <row r="19" spans="1:12">
      <c r="A19" s="8" t="s">
        <v>115</v>
      </c>
      <c r="B19" s="112">
        <v>9960356</v>
      </c>
      <c r="C19" s="112">
        <v>1133048</v>
      </c>
      <c r="D19" s="112">
        <f t="shared" si="3"/>
        <v>11093404</v>
      </c>
      <c r="E19" s="166">
        <f t="shared" si="0"/>
        <v>23794.008000000002</v>
      </c>
      <c r="F19" s="167">
        <f t="shared" si="1"/>
        <v>79313.36</v>
      </c>
      <c r="G19" s="167">
        <v>1182300</v>
      </c>
      <c r="H19" s="167">
        <f t="shared" si="4"/>
        <v>1261613.3600000001</v>
      </c>
      <c r="I19" s="167">
        <f t="shared" si="2"/>
        <v>12355017.359999999</v>
      </c>
      <c r="J19" s="9"/>
      <c r="L19" s="10"/>
    </row>
    <row r="20" spans="1:12">
      <c r="A20" s="8" t="s">
        <v>116</v>
      </c>
      <c r="B20" s="112">
        <v>0</v>
      </c>
      <c r="C20" s="112">
        <v>2336896</v>
      </c>
      <c r="D20" s="112">
        <f t="shared" si="3"/>
        <v>2336896</v>
      </c>
      <c r="E20" s="166">
        <f t="shared" si="0"/>
        <v>49074.816000000006</v>
      </c>
      <c r="F20" s="167">
        <f t="shared" si="1"/>
        <v>163582.72</v>
      </c>
      <c r="G20" s="167">
        <v>295000</v>
      </c>
      <c r="H20" s="167">
        <f t="shared" si="4"/>
        <v>458582.72</v>
      </c>
      <c r="I20" s="167">
        <f t="shared" si="2"/>
        <v>2795478.7199999997</v>
      </c>
      <c r="J20" s="9"/>
      <c r="L20" s="10"/>
    </row>
    <row r="21" spans="1:12">
      <c r="A21" s="8" t="s">
        <v>117</v>
      </c>
      <c r="B21" s="112">
        <v>0</v>
      </c>
      <c r="C21" s="112">
        <v>2458634</v>
      </c>
      <c r="D21" s="112">
        <f t="shared" si="3"/>
        <v>2458634</v>
      </c>
      <c r="E21" s="166">
        <f t="shared" si="0"/>
        <v>51631.314000000006</v>
      </c>
      <c r="F21" s="167">
        <f t="shared" si="1"/>
        <v>172104.38</v>
      </c>
      <c r="G21" s="167">
        <v>350000</v>
      </c>
      <c r="H21" s="167">
        <f t="shared" si="4"/>
        <v>522104.38</v>
      </c>
      <c r="I21" s="167">
        <f t="shared" si="2"/>
        <v>2980738.38</v>
      </c>
      <c r="J21" s="9"/>
      <c r="L21" s="10"/>
    </row>
    <row r="22" spans="1:12" ht="15.75">
      <c r="A22" s="20" t="s">
        <v>118</v>
      </c>
      <c r="B22" s="112">
        <v>0</v>
      </c>
      <c r="C22" s="112">
        <v>0</v>
      </c>
      <c r="D22" s="112">
        <f t="shared" si="3"/>
        <v>0</v>
      </c>
      <c r="E22" s="166">
        <f t="shared" si="0"/>
        <v>0</v>
      </c>
      <c r="F22" s="167">
        <f t="shared" si="1"/>
        <v>0</v>
      </c>
      <c r="G22" s="167">
        <v>0</v>
      </c>
      <c r="H22" s="167">
        <f t="shared" si="4"/>
        <v>0</v>
      </c>
      <c r="I22" s="167">
        <f t="shared" si="2"/>
        <v>0</v>
      </c>
      <c r="J22" s="9"/>
      <c r="L22" s="10"/>
    </row>
    <row r="23" spans="1:12" ht="15.75">
      <c r="A23" s="20" t="s">
        <v>119</v>
      </c>
      <c r="B23" s="112">
        <v>0</v>
      </c>
      <c r="C23" s="112">
        <v>0</v>
      </c>
      <c r="D23" s="112">
        <f t="shared" si="3"/>
        <v>0</v>
      </c>
      <c r="E23" s="166">
        <f t="shared" si="0"/>
        <v>0</v>
      </c>
      <c r="F23" s="167">
        <f t="shared" si="1"/>
        <v>0</v>
      </c>
      <c r="G23" s="167">
        <v>0</v>
      </c>
      <c r="H23" s="167">
        <f t="shared" si="4"/>
        <v>0</v>
      </c>
      <c r="I23" s="167">
        <f t="shared" si="2"/>
        <v>0</v>
      </c>
      <c r="J23" s="9"/>
      <c r="L23" s="10"/>
    </row>
    <row r="24" spans="1:12">
      <c r="A24" s="8" t="s">
        <v>120</v>
      </c>
      <c r="B24" s="112">
        <v>0</v>
      </c>
      <c r="C24" s="112">
        <v>0</v>
      </c>
      <c r="D24" s="112">
        <f t="shared" si="3"/>
        <v>0</v>
      </c>
      <c r="E24" s="166">
        <f t="shared" si="0"/>
        <v>0</v>
      </c>
      <c r="F24" s="167">
        <f t="shared" si="1"/>
        <v>0</v>
      </c>
      <c r="G24" s="167">
        <v>0</v>
      </c>
      <c r="H24" s="167">
        <f t="shared" si="4"/>
        <v>0</v>
      </c>
      <c r="I24" s="167">
        <f t="shared" si="2"/>
        <v>0</v>
      </c>
      <c r="J24" s="9"/>
      <c r="L24" s="10"/>
    </row>
    <row r="25" spans="1:12">
      <c r="A25" s="8" t="s">
        <v>121</v>
      </c>
      <c r="B25" s="112">
        <v>0</v>
      </c>
      <c r="C25" s="112">
        <v>0</v>
      </c>
      <c r="D25" s="112">
        <f t="shared" si="3"/>
        <v>0</v>
      </c>
      <c r="E25" s="166">
        <f t="shared" si="0"/>
        <v>0</v>
      </c>
      <c r="F25" s="167">
        <f t="shared" si="1"/>
        <v>0</v>
      </c>
      <c r="G25" s="167">
        <v>0</v>
      </c>
      <c r="H25" s="167">
        <f t="shared" si="4"/>
        <v>0</v>
      </c>
      <c r="I25" s="167">
        <f t="shared" si="2"/>
        <v>0</v>
      </c>
      <c r="J25" s="9"/>
      <c r="L25" s="10"/>
    </row>
    <row r="26" spans="1:12">
      <c r="A26" s="8" t="s">
        <v>122</v>
      </c>
      <c r="B26" s="112">
        <v>0</v>
      </c>
      <c r="C26" s="112">
        <v>0</v>
      </c>
      <c r="D26" s="112">
        <f t="shared" si="3"/>
        <v>0</v>
      </c>
      <c r="E26" s="166">
        <f t="shared" si="0"/>
        <v>0</v>
      </c>
      <c r="F26" s="167">
        <f t="shared" si="1"/>
        <v>0</v>
      </c>
      <c r="G26" s="167">
        <v>0</v>
      </c>
      <c r="H26" s="167">
        <f t="shared" si="4"/>
        <v>0</v>
      </c>
      <c r="I26" s="167">
        <f t="shared" si="2"/>
        <v>0</v>
      </c>
      <c r="J26" s="9"/>
      <c r="L26" s="10"/>
    </row>
    <row r="27" spans="1:12">
      <c r="A27" s="8" t="s">
        <v>123</v>
      </c>
      <c r="B27" s="112">
        <v>0</v>
      </c>
      <c r="C27" s="112">
        <v>4064026</v>
      </c>
      <c r="D27" s="112">
        <f t="shared" si="3"/>
        <v>4064026</v>
      </c>
      <c r="E27" s="166">
        <f t="shared" si="0"/>
        <v>85344.546000000002</v>
      </c>
      <c r="F27" s="167">
        <f t="shared" si="1"/>
        <v>284481.82</v>
      </c>
      <c r="G27" s="167">
        <v>1980000</v>
      </c>
      <c r="H27" s="167">
        <f t="shared" si="4"/>
        <v>2264481.8199999998</v>
      </c>
      <c r="I27" s="167">
        <f t="shared" si="2"/>
        <v>6328507.8200000003</v>
      </c>
      <c r="J27" s="9"/>
      <c r="L27" s="10"/>
    </row>
    <row r="28" spans="1:12" ht="15.75" thickBot="1">
      <c r="A28" s="8" t="s">
        <v>124</v>
      </c>
      <c r="B28" s="112">
        <v>0</v>
      </c>
      <c r="C28" s="179">
        <v>3818308</v>
      </c>
      <c r="D28" s="112">
        <f t="shared" si="3"/>
        <v>3818308</v>
      </c>
      <c r="E28" s="166">
        <v>612278</v>
      </c>
      <c r="F28" s="167">
        <f t="shared" si="1"/>
        <v>267281.56</v>
      </c>
      <c r="G28" s="167">
        <v>1383392</v>
      </c>
      <c r="H28" s="167">
        <f t="shared" si="4"/>
        <v>1650673.56</v>
      </c>
      <c r="I28" s="167">
        <f t="shared" si="2"/>
        <v>5468981.5600000005</v>
      </c>
      <c r="J28" s="9"/>
      <c r="L28" s="10"/>
    </row>
    <row r="29" spans="1:12" ht="15.75" thickBot="1">
      <c r="A29" s="263" t="s">
        <v>89</v>
      </c>
      <c r="B29" s="264">
        <f t="shared" ref="B29:I29" si="9">SUM(B5:B28)</f>
        <v>18585292</v>
      </c>
      <c r="C29" s="264">
        <f t="shared" si="9"/>
        <v>91976202</v>
      </c>
      <c r="D29" s="264">
        <f>SUM(D5:D28)</f>
        <v>110561494</v>
      </c>
      <c r="E29" s="265">
        <f>SUM(E5:E28)</f>
        <v>2463593.7740000002</v>
      </c>
      <c r="F29" s="266">
        <f t="shared" si="9"/>
        <v>6438334.1400000006</v>
      </c>
      <c r="G29" s="266">
        <f t="shared" si="9"/>
        <v>14483283</v>
      </c>
      <c r="H29" s="266">
        <f t="shared" si="9"/>
        <v>20921617.139999997</v>
      </c>
      <c r="I29" s="266">
        <f t="shared" si="9"/>
        <v>131483111.13999999</v>
      </c>
      <c r="J29" s="9"/>
      <c r="L29" s="10"/>
    </row>
    <row r="30" spans="1:12" ht="15.75">
      <c r="A30" s="21" t="s">
        <v>125</v>
      </c>
      <c r="B30" s="11"/>
      <c r="C30" s="11"/>
      <c r="D30" s="11"/>
      <c r="E30" s="12"/>
      <c r="I30" s="9"/>
      <c r="J30" s="9"/>
      <c r="L30" s="10"/>
    </row>
    <row r="31" spans="1:12">
      <c r="A31" s="13"/>
    </row>
    <row r="32" spans="1:12" ht="16.5" thickBot="1">
      <c r="A32" s="14" t="s">
        <v>126</v>
      </c>
      <c r="B32" s="15"/>
    </row>
    <row r="33" spans="1:9" ht="16.5" customHeight="1" thickBot="1">
      <c r="A33" s="16"/>
      <c r="B33" s="253" t="s">
        <v>71</v>
      </c>
      <c r="C33" s="254"/>
      <c r="D33" s="254"/>
      <c r="E33" s="255"/>
      <c r="F33" s="256" t="s">
        <v>96</v>
      </c>
      <c r="G33" s="257"/>
      <c r="H33" s="257"/>
      <c r="I33" s="258"/>
    </row>
    <row r="34" spans="1:9" ht="48" thickBot="1">
      <c r="A34" s="17"/>
      <c r="B34" s="260" t="s">
        <v>6</v>
      </c>
      <c r="C34" s="260" t="s">
        <v>8</v>
      </c>
      <c r="D34" s="260" t="s">
        <v>18</v>
      </c>
      <c r="E34" s="267" t="s">
        <v>97</v>
      </c>
      <c r="F34" s="268" t="s">
        <v>98</v>
      </c>
      <c r="G34" s="268" t="s">
        <v>99</v>
      </c>
      <c r="H34" s="22" t="s">
        <v>100</v>
      </c>
      <c r="I34" s="268" t="s">
        <v>17</v>
      </c>
    </row>
    <row r="35" spans="1:9">
      <c r="A35" s="8" t="s">
        <v>127</v>
      </c>
      <c r="B35" s="112">
        <v>12753020</v>
      </c>
      <c r="C35" s="112">
        <v>88012881</v>
      </c>
      <c r="D35" s="112">
        <f>SUM(B35:C35)</f>
        <v>100765901</v>
      </c>
      <c r="E35" s="168">
        <f>C35*0.021</f>
        <v>1848270.5010000002</v>
      </c>
      <c r="F35" s="167">
        <f>C35*0.07</f>
        <v>6160901.6700000009</v>
      </c>
      <c r="G35" s="169">
        <v>22452494</v>
      </c>
      <c r="H35" s="169">
        <f t="shared" ref="H35:H38" si="10">F35+G35</f>
        <v>28613395.670000002</v>
      </c>
      <c r="I35" s="167">
        <f>D35+H35</f>
        <v>129379296.67</v>
      </c>
    </row>
    <row r="36" spans="1:9">
      <c r="A36" s="8" t="s">
        <v>128</v>
      </c>
      <c r="B36" s="112">
        <v>0</v>
      </c>
      <c r="C36" s="112">
        <v>350000</v>
      </c>
      <c r="D36" s="112">
        <f t="shared" ref="D36:D38" si="11">SUM(B36:C36)</f>
        <v>350000</v>
      </c>
      <c r="E36" s="168">
        <f>C36*0.021</f>
        <v>7350.0000000000009</v>
      </c>
      <c r="F36" s="167">
        <f>C36*0.07</f>
        <v>24500.000000000004</v>
      </c>
      <c r="G36" s="169">
        <v>0</v>
      </c>
      <c r="H36" s="169">
        <f t="shared" si="10"/>
        <v>24500.000000000004</v>
      </c>
      <c r="I36" s="167">
        <f>D36+H36</f>
        <v>374500</v>
      </c>
    </row>
    <row r="37" spans="1:9">
      <c r="A37" s="8" t="s">
        <v>129</v>
      </c>
      <c r="B37" s="112">
        <v>0</v>
      </c>
      <c r="C37" s="112">
        <v>1985100</v>
      </c>
      <c r="D37" s="112">
        <f t="shared" si="11"/>
        <v>1985100</v>
      </c>
      <c r="E37" s="168">
        <f>C37*0.021</f>
        <v>41687.100000000006</v>
      </c>
      <c r="F37" s="167">
        <f>C37*0.07</f>
        <v>138957</v>
      </c>
      <c r="G37" s="169">
        <v>0</v>
      </c>
      <c r="H37" s="169">
        <f t="shared" si="10"/>
        <v>138957</v>
      </c>
      <c r="I37" s="167">
        <f>D37+H37</f>
        <v>2124057</v>
      </c>
    </row>
    <row r="38" spans="1:9" ht="15.75" thickBot="1">
      <c r="A38" s="8" t="s">
        <v>130</v>
      </c>
      <c r="B38" s="112">
        <v>317344</v>
      </c>
      <c r="C38" s="112">
        <v>5438340</v>
      </c>
      <c r="D38" s="112">
        <f t="shared" si="11"/>
        <v>5755684</v>
      </c>
      <c r="E38" s="168">
        <f>C38*0.021</f>
        <v>114205.14000000001</v>
      </c>
      <c r="F38" s="167">
        <f>C38*0.07</f>
        <v>380683.80000000005</v>
      </c>
      <c r="G38" s="167">
        <v>0</v>
      </c>
      <c r="H38" s="167">
        <f t="shared" si="10"/>
        <v>380683.80000000005</v>
      </c>
      <c r="I38" s="167">
        <f>D38+H38</f>
        <v>6136367.7999999998</v>
      </c>
    </row>
    <row r="39" spans="1:9" ht="15.75" thickBot="1">
      <c r="A39" s="263" t="s">
        <v>89</v>
      </c>
      <c r="B39" s="264">
        <f t="shared" ref="B39:I39" si="12">SUM(B35:B38)</f>
        <v>13070364</v>
      </c>
      <c r="C39" s="264">
        <f t="shared" si="12"/>
        <v>95786321</v>
      </c>
      <c r="D39" s="264">
        <f>SUM(D35:D38)</f>
        <v>108856685</v>
      </c>
      <c r="E39" s="269">
        <f>SUM(E35:E38)</f>
        <v>2011512.7410000004</v>
      </c>
      <c r="F39" s="270">
        <f>SUM(F35:F38)</f>
        <v>6705042.4700000007</v>
      </c>
      <c r="G39" s="271">
        <f t="shared" si="12"/>
        <v>22452494</v>
      </c>
      <c r="H39" s="271">
        <f>SUM(H35:H38)</f>
        <v>29157536.470000003</v>
      </c>
      <c r="I39" s="271">
        <f t="shared" si="12"/>
        <v>138014221.47</v>
      </c>
    </row>
    <row r="44" spans="1:9">
      <c r="I44" s="10"/>
    </row>
    <row r="45" spans="1:9">
      <c r="I45" s="25"/>
    </row>
    <row r="46" spans="1:9">
      <c r="F46" s="10"/>
      <c r="I46" s="10"/>
    </row>
  </sheetData>
  <mergeCells count="6">
    <mergeCell ref="A1:I1"/>
    <mergeCell ref="A3:A4"/>
    <mergeCell ref="F3:I3"/>
    <mergeCell ref="F33:I33"/>
    <mergeCell ref="B3:D3"/>
    <mergeCell ref="B33:D33"/>
  </mergeCells>
  <printOptions horizontalCentered="1"/>
  <pageMargins left="0.5" right="0.5" top="0.75" bottom="0.75" header="0.3" footer="0.3"/>
  <pageSetup scale="71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9218" r:id="rId4">
          <objectPr defaultSize="0" autoPict="0" r:id="rId5">
            <anchor moveWithCells="1">
              <from>
                <xdr:col>8</xdr:col>
                <xdr:colOff>533400</xdr:colOff>
                <xdr:row>0</xdr:row>
                <xdr:rowOff>47625</xdr:rowOff>
              </from>
              <to>
                <xdr:col>8</xdr:col>
                <xdr:colOff>971550</xdr:colOff>
                <xdr:row>1</xdr:row>
                <xdr:rowOff>200025</xdr:rowOff>
              </to>
            </anchor>
          </objectPr>
        </oleObject>
      </mc:Choice>
      <mc:Fallback>
        <oleObject progId="MSPhotoEd.3" shapeId="9218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C4A13C0CA2C042A96898FF52FCDC61" ma:contentTypeVersion="16" ma:contentTypeDescription="Create a new document." ma:contentTypeScope="" ma:versionID="ae1a427c6ed08b870092dd60f82234cb">
  <xsd:schema xmlns:xsd="http://www.w3.org/2001/XMLSchema" xmlns:xs="http://www.w3.org/2001/XMLSchema" xmlns:p="http://schemas.microsoft.com/office/2006/metadata/properties" xmlns:ns2="947b49c1-b779-4173-a9b8-e322bfe24297" xmlns:ns3="ef516bc9-7540-43b0-8e05-106021154157" targetNamespace="http://schemas.microsoft.com/office/2006/metadata/properties" ma:root="true" ma:fieldsID="4c917c4f0af815de6234c8005c95b540" ns2:_="" ns3:_="">
    <xsd:import namespace="947b49c1-b779-4173-a9b8-e322bfe24297"/>
    <xsd:import namespace="ef516bc9-7540-43b0-8e05-1060211541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b49c1-b779-4173-a9b8-e322bfe24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da1e848-1c7d-447e-9610-0128f4aaec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16bc9-7540-43b0-8e05-1060211541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ab4d4ea-1f2d-4377-91f3-f7df99510967}" ma:internalName="TaxCatchAll" ma:showField="CatchAllData" ma:web="ef516bc9-7540-43b0-8e05-1060211541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7b49c1-b779-4173-a9b8-e322bfe24297">
      <Terms xmlns="http://schemas.microsoft.com/office/infopath/2007/PartnerControls"/>
    </lcf76f155ced4ddcb4097134ff3c332f>
    <TaxCatchAll xmlns="ef516bc9-7540-43b0-8e05-106021154157" xsi:nil="true"/>
  </documentManagement>
</p:properties>
</file>

<file path=customXml/itemProps1.xml><?xml version="1.0" encoding="utf-8"?>
<ds:datastoreItem xmlns:ds="http://schemas.openxmlformats.org/officeDocument/2006/customXml" ds:itemID="{09329A6A-65E7-48E4-8454-2459D1736222}"/>
</file>

<file path=customXml/itemProps2.xml><?xml version="1.0" encoding="utf-8"?>
<ds:datastoreItem xmlns:ds="http://schemas.openxmlformats.org/officeDocument/2006/customXml" ds:itemID="{2B858A06-FF32-4A2A-A0A7-6DE9ED90B962}"/>
</file>

<file path=customXml/itemProps3.xml><?xml version="1.0" encoding="utf-8"?>
<ds:datastoreItem xmlns:ds="http://schemas.openxmlformats.org/officeDocument/2006/customXml" ds:itemID="{E683DF67-EE50-40AC-968A-3C9BBA5EE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ChandraR</dc:creator>
  <cp:keywords/>
  <dc:description/>
  <cp:lastModifiedBy>Nichole Abernathy (ADHE)</cp:lastModifiedBy>
  <cp:revision/>
  <dcterms:created xsi:type="dcterms:W3CDTF">2012-07-18T21:11:59Z</dcterms:created>
  <dcterms:modified xsi:type="dcterms:W3CDTF">2022-07-28T19:10:39Z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MediaServiceImageTags">
    <vt:lpwstr/>
  </property>
</Properties>
</file>